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80" windowWidth="19440" windowHeight="8055" firstSheet="0" activeTab="0"/>
  </bookViews>
  <sheets>
    <sheet name="hoàn chinh" sheetId="1" r:id="rId1"/>
    <sheet name="TDCCC" sheetId="2" r:id="rId2"/>
    <sheet name="thu hoi dat" sheetId="3" r:id="rId3"/>
  </sheets>
  <definedNames>
    <definedName name="_xlnm._FilterDatabase" localSheetId="0" hidden="1">'hoàn chinh'!$B$5:$P$12</definedName>
    <definedName name="_xlnm.Print_Titles" localSheetId="0">'hoàn chinh'!$3:$4</definedName>
    <definedName name="_xlnm.Print_Titles" localSheetId="1">'TDCCC'!$3:$3</definedName>
  </definedNames>
  <calcPr fullCalcOnLoad="1"/>
</workbook>
</file>

<file path=xl/sharedStrings.xml><?xml version="1.0" encoding="utf-8"?>
<sst xmlns="http://schemas.openxmlformats.org/spreadsheetml/2006/main" count="434" uniqueCount="275">
  <si>
    <t>cây</t>
  </si>
  <si>
    <t>Số TT</t>
  </si>
  <si>
    <t>ĐVT</t>
  </si>
  <si>
    <t>Giá trị bồi thường, hỗ trợ</t>
  </si>
  <si>
    <t>Số lượng</t>
  </si>
  <si>
    <t>Đơn giá (đồng)</t>
  </si>
  <si>
    <t>Thành tiền (đồng)</t>
  </si>
  <si>
    <t>Đối tượng được bồi thường, 
hỗ trợ</t>
  </si>
  <si>
    <t>Tỷ lệ BT,
HT (%)</t>
  </si>
  <si>
    <t>Hệ số điều chỉnh</t>
  </si>
  <si>
    <t>Mã số</t>
  </si>
  <si>
    <t>KIỂM TRA</t>
  </si>
  <si>
    <t>2</t>
  </si>
  <si>
    <t>3</t>
  </si>
  <si>
    <t>6</t>
  </si>
  <si>
    <t>9=5 x 6 x 7 x 8</t>
  </si>
  <si>
    <t>Tổng cộng</t>
  </si>
  <si>
    <t>đ/m²</t>
  </si>
  <si>
    <t>QĐ 65 , PL 02
XIV,5</t>
  </si>
  <si>
    <t xml:space="preserve">QĐ 65, PL 01,6,3 </t>
  </si>
  <si>
    <t>QĐ 65, PL 02, IV, 2, 2.3</t>
  </si>
  <si>
    <t>QĐ 65, PL2, III, 4</t>
  </si>
  <si>
    <t>QĐ 65, PL 01, 7, 10</t>
  </si>
  <si>
    <t xml:space="preserve">QĐ 65, PL 02, 6,3 </t>
  </si>
  <si>
    <t xml:space="preserve">QĐ 65, PL 01, 6,15 </t>
  </si>
  <si>
    <t xml:space="preserve">QĐ 65, PL 01, 6,16 </t>
  </si>
  <si>
    <t>Số TTHS</t>
  </si>
  <si>
    <t xml:space="preserve">QĐ 65,PL 02, X 5
</t>
  </si>
  <si>
    <t xml:space="preserve"> cây</t>
  </si>
  <si>
    <t>IV.4</t>
  </si>
  <si>
    <t>II.11</t>
  </si>
  <si>
    <t>IV.1</t>
  </si>
  <si>
    <t>II.8</t>
  </si>
  <si>
    <t>III.37</t>
  </si>
  <si>
    <t>B.I.10</t>
  </si>
  <si>
    <t>II.23</t>
  </si>
  <si>
    <t>A.31</t>
  </si>
  <si>
    <t>Ghi chú</t>
  </si>
  <si>
    <t>Lan can sắt hộp:
DT=4.5*0.6</t>
  </si>
  <si>
    <t>QĐ 65,PL 02
XIV,2</t>
  </si>
  <si>
    <t>Nhà cấp III, 02 tầng, nhà khung BTCT, móng BTCT, tường xây gạch, sàn BTCT, mái tôn, nền gạch:
DTt1=10.6*4
DTt2=11.6*4</t>
  </si>
  <si>
    <t>I, 2, 2.2,a</t>
  </si>
  <si>
    <t>La phong thạch cao: DT=8*4</t>
  </si>
  <si>
    <t>Ốp men:
DT=9.4*1.8</t>
  </si>
  <si>
    <t>STT</t>
  </si>
  <si>
    <t>STT 
HS</t>
  </si>
  <si>
    <t>Hộ gia đình, cá nhân</t>
  </si>
  <si>
    <t>Tổng diện tích đất đang sử dụng (m2)</t>
  </si>
  <si>
    <t>Diện tích thu hồi thực hiện dự án (m2)</t>
  </si>
  <si>
    <t>Diện tích còn lại (m2)</t>
  </si>
  <si>
    <t xml:space="preserve">Nhà giải tỏa
(m2) </t>
  </si>
  <si>
    <t>Kết quả thẩm định điều kiện bồi thường đất</t>
  </si>
  <si>
    <t>Căn cứ</t>
  </si>
  <si>
    <t>Ông, bà Trần Hồng Vũ - Nguyễn Thị Tuyết. Đ/c: 16/17 kiệt 292 Bùi Thị Xuân, phường Phường Đúc, TP Huế.</t>
  </si>
  <si>
    <t>Giao 01 lô đất tái định cư</t>
  </si>
  <si>
    <t>Ông, bà Nguyễn Thị Hạnh Trang - Trần Minh Tiên. Đ/c: 16/3 kiệt 292 Bùi Thị Xuân, phường Phường Đúc, thành phố Huế</t>
  </si>
  <si>
    <t>Ông, bà Trương Đình Lộc - Hà Thị Mười. Đ/c:  16/5 kiệt 292 Bùi Thị Xuân, phường Phường Đúc, thành phố Huế</t>
  </si>
  <si>
    <t>Bà Hà Thị Kim Cúc. Đ/c: 16/5 kiệt 292 Bùi Thị Xuân  Bùi Thị Xuân, phường Phường Đúc, thành phố Huế</t>
  </si>
  <si>
    <t>Bà Hà Thị Mai. Đ/c: Đ/c: 16/5 kiệt 292 Bùi Thị Xuân  Bùi Thị Xuân, phường Phường Đúc, thành phố Huế</t>
  </si>
  <si>
    <t>Bà Trần Thị Phường. Đ/c: 16/7 Kiệt 292 Bùi Thị Xuân, phường Phường Đúc, thành phố Huế</t>
  </si>
  <si>
    <t>Ông, bà Hà Thị Bốn - Đinh Như Tuân; Đ/c: 16/7 Kiệt 292 Bùi Thị Xuân, phường Phường Đúc, thành phố Huế</t>
  </si>
  <si>
    <t>ông, bà Hà Thị Lan - Nguyễn Hữu Nhật; Đ/c: 16/7 Kiệt 292 Bùi Thị Xuân, phường Phường Đúc, thành phố Huế</t>
  </si>
  <si>
    <t>ông, bà Hà Văn Khánh - Võ Thị Bình; Đ/c: 16/7 Kiệt 292 Bùi Thị Xuân, phường Phường Đúc, thành phố Huế</t>
  </si>
  <si>
    <t>Bà Hà Văn Say - Võ Thị Dạng; Đ/c: 16/7 Kiệt 292 Bùi Thị Xuân, phường Phường Đúc, thành phố Huế</t>
  </si>
  <si>
    <t>Hà Văn Lớn - Đặng Thị Phúc; Đ/c: 16/7 Kiệt 292 Bùi Thị Xuân, phường Phường Đúc, thành phố Huế</t>
  </si>
  <si>
    <t>Không đủ điều kiện giao đất</t>
  </si>
  <si>
    <t>Ông, bà Phan Văn Bông - Phan Thị Lệ Thủy; Đ/c: 16/9 kiệt 292 Bùi Thị Xuân, phường Phường Đúc, thành phố Huế</t>
  </si>
  <si>
    <t>Ông Trần Nhật Quang; Đ/c: 16/15 Kiệt 292 Bùi Thị Xuân, phường Phường Đúc, thành phố Huế</t>
  </si>
  <si>
    <t>Ông Trương Trần Thoại Mẫn - Lê Thị Ngọc Phương; Đ/c: 16/13 Kiệt 292 Bùi Thị Xuân, phường Phường Đúc, thành phố Huế</t>
  </si>
  <si>
    <t>Lê Văn Mến - Trần Thị Hường; Đ/c: 16/1 Kiệt 292 Bùi Thị Xuân, phường Phường Đúc, thành phố Huế</t>
  </si>
  <si>
    <t>Lê Văn Quang - Phan Thanh Trinh. Đ/c: 16/1 Kiệt 292 Bùi Thị Xuân, phường Phường Đúc, thành phố Huế</t>
  </si>
  <si>
    <t>không có nhà riêng</t>
  </si>
  <si>
    <t xml:space="preserve">Không có nhà ở đất ở nào khác trên địa bàn phường Phường Đúc
</t>
  </si>
  <si>
    <t>Ông Hà Hai. Đ/c: 16/5 kiệt 292 Bùi Thị Xuân  Bùi Thị Xuân, phường Phường Đúc, thành phố Huế</t>
  </si>
  <si>
    <t>Bà Lê Thị Hồng .Đ/c: 16/3 kiệt 292 Bùi Thị Xuân, phường Phường Đúc, thành phố Huế</t>
  </si>
  <si>
    <t>Bà Trần Thị Mơ. Đ/c: 16/9 Kiệt 292 Bùi Thị Xuân, phường Phường Đúc, thành phố Huế</t>
  </si>
  <si>
    <t xml:space="preserve">Hiện đang sinh sống tại thửa đất giải tỏa, mất chổ ở và không có nhà ở đất ở nào khác trên địa bàn phường Phường Đúc
</t>
  </si>
  <si>
    <t xml:space="preserve"> Đề xuất phương án</t>
  </si>
  <si>
    <t>Hộ phụ sinh sống tại thửa đất thu hồi</t>
  </si>
  <si>
    <t>Ông, bà Trần Hồng Long, Dương Thị Hạnh Thảo; Đ/c: 16/11 kiệt 292  Bùi Thị Xuân, phường Phường Đúc, thành phố Huế</t>
  </si>
  <si>
    <t xml:space="preserve">Con ông, bà Trần Thị Mơ - Dương Văn Châu. 
</t>
  </si>
  <si>
    <t>Ông, bà Hà Nhật Tiến - Trần Thị Kim Phụng. Đ/c: 16/7 kiệt 292 Bùi Thị Xuân, phường Phường Đúc, thành phố Huế</t>
  </si>
  <si>
    <t xml:space="preserve">Con ông, bà Hà văn Hùng - Nguyễn Thị Minh. </t>
  </si>
  <si>
    <t xml:space="preserve">Đăng ký kết hôn ngày 27/6/2023 sau thời điểm có Thông báo thu hồi đất
</t>
  </si>
  <si>
    <t>Đủ điều kiện bồi thường đất ở 300m2, đất nông nghiệp liền kề 110m2, không bồi thường 7.8m2 cho ông, bà Trần Hồng Vũ - Nguyễn Thị Tuyết.</t>
  </si>
  <si>
    <t>Đủ điều kiện bồi thường đất ở 234m2, không bồi thường 93,9m2 cho bà Lê Thị Hồng và các đồng thừa kế ông Nguyễn Văn Anh</t>
  </si>
  <si>
    <t>Đủ điều kiện bồi thường đất ở 290m2, không bồi thường 55.2m2 cho ông Hà Hai và các đồng thừa kế bà Nguyễn Thị Sen</t>
  </si>
  <si>
    <t>Đủ điều kiện bồi thường đất ở 200m2, đất nông nghiệp liền kề 226.7m2, không bồi thường 21.6m2,  cho bà Trần Thị Phường và các đồng thừa kế ông Hà Văn Mát.</t>
  </si>
  <si>
    <t>Đủ điều kiện bồi thường đất nông nghiệp liền kề 175m2, không bồi thường 49.3m2, cho ông, bà Trần Hồng Long, Dương Thị Hạnh Thảo</t>
  </si>
  <si>
    <t>Đủ điều kiện bồi thường đất ở 136m2, không bồi thường 9.7m2, cho ông, bà Lê Văn Mến - Trần Thị Hường</t>
  </si>
  <si>
    <t>Đủ điều kiện bồi thường đất ở 330m2, không bồi thường 9.5m2, cho các đồng thừa kế của ông Trần Lập - Nguyễn Thị Cháu.</t>
  </si>
  <si>
    <t>Con ông, bà Hà Hai - Nguyễn Thị Sen. 
Kết hôn ngày 14/11/2008, có 01 nhân khẩu</t>
  </si>
  <si>
    <t>Đủ điều kiện bồi thường đất ở 49.5% diện tích 199.2m2</t>
  </si>
  <si>
    <t>Ông, bà Nguyễn Sung ( Chết) - Lê Thị Ngọc Liệu. Đ/c: 104 Bùi Thị Xuân.</t>
  </si>
  <si>
    <t>Đất ở đường Bùi Thị Xuân, vị trí 2, loại 4B đoạn từ Cầu lòn đường sắt đến Huyền Trân Công Chúa.</t>
  </si>
  <si>
    <t>QĐ 06; 
QĐ 549 (14.3.2022)</t>
  </si>
  <si>
    <r>
      <t>m</t>
    </r>
    <r>
      <rPr>
        <vertAlign val="superscript"/>
        <sz val="10"/>
        <rFont val="Times New Roman"/>
        <family val="1"/>
      </rPr>
      <t>2</t>
    </r>
  </si>
  <si>
    <t>không bồi thường</t>
  </si>
  <si>
    <t>tất cả các cong trinh nếu vi phạm về  xây dựng điều chỉnh về 0% thay vì 80%</t>
  </si>
  <si>
    <t>Niêm yết áp giá 3B, VT4: 3.600.000/1m2; Thẩm định áp lại 3A, vt 4: 5.520.000 đ/1m2</t>
  </si>
  <si>
    <t>Chuồng gà thô sơ: DT=2,6*1,9</t>
  </si>
  <si>
    <t>Tường xây bờ lô kín 
DT=11,2*1</t>
  </si>
  <si>
    <t>B40 DT=(5,6+11,2)*0,9</t>
  </si>
  <si>
    <t>QĐ 65 PL 2, XIV, 6</t>
  </si>
  <si>
    <t>Áp thiếu</t>
  </si>
  <si>
    <t>Thanh trà thu hoạch d=15cm: 3 cây</t>
  </si>
  <si>
    <t>II.1</t>
  </si>
  <si>
    <t>Cây thầu đâu d=35: 1 cây</t>
  </si>
  <si>
    <t>III.47</t>
  </si>
  <si>
    <t>Cây dâu d=15cm: 2 cây</t>
  </si>
  <si>
    <t>II.4</t>
  </si>
  <si>
    <t>Cây khế d=20cm: 1 cây</t>
  </si>
  <si>
    <t>Cây vú sữa d=15cm: 1 cây</t>
  </si>
  <si>
    <t>Cây dừa cao &lt;10m: 1 cây</t>
  </si>
  <si>
    <t>Tre d=5cm: 106 cây</t>
  </si>
  <si>
    <t>ớt: 5 cây</t>
  </si>
  <si>
    <t>Đu đủ chăm sóc: 4 cây</t>
  </si>
  <si>
    <t>Cây mai d=3cm: 1 cây</t>
  </si>
  <si>
    <t>Cây sung d=30cm: 2 cây</t>
  </si>
  <si>
    <t>Hố ga: KT=2,3*1,55*2</t>
  </si>
  <si>
    <r>
      <t>đ/m</t>
    </r>
    <r>
      <rPr>
        <vertAlign val="superscript"/>
        <sz val="11"/>
        <rFont val="Times New Roman"/>
        <family val="1"/>
      </rPr>
      <t>3</t>
    </r>
  </si>
  <si>
    <r>
      <t>đồng/m</t>
    </r>
    <r>
      <rPr>
        <vertAlign val="superscript"/>
        <sz val="11"/>
        <rFont val="Times New Roman"/>
        <family val="1"/>
      </rPr>
      <t>3</t>
    </r>
  </si>
  <si>
    <t>QĐ 65, PL 2, XIII, 3, 3.5</t>
  </si>
  <si>
    <t xml:space="preserve">QĐ 65, PL 01,4 </t>
  </si>
  <si>
    <t>QĐ 65, PL 02, XI, 6</t>
  </si>
  <si>
    <t>Cây mít d=40: 1 cây</t>
  </si>
  <si>
    <t>STT:11, CV51/PTN, 11/01/2018 (Đợt 2)</t>
  </si>
  <si>
    <t>Cây đào d=40cm: 1 cây</t>
  </si>
  <si>
    <t>Các đồng thừa kế của bà Võ Thị Bình. Đ/c: 90 Bùi Thị Xuân, phường Phường Đúc. ( thửa 16 tờ 1)</t>
  </si>
  <si>
    <t>8.1</t>
  </si>
  <si>
    <t>Ông Võ Văn Phú. Đ/c: 90 Bùi Thị Xuân</t>
  </si>
  <si>
    <t>Tài sản xây dựng trên đất bà Võ Thị Bình.</t>
  </si>
  <si>
    <t>Nhà cấp IV, móng BTCT kết hợp xây gạch đá, cột BTCT,mái tôn đỡ sắt , tường xây gạch, nền gạch men , không có khu phụ 
DT=3,2*4,6+3,35*3,6</t>
  </si>
  <si>
    <t>QĐ 65, PL 01, 1, 3.1b</t>
  </si>
  <si>
    <t>La phong tôn
DT=3,2*4,6+3,3*3,5</t>
  </si>
  <si>
    <t>Hàng rào bờ lô kín 
DT=11,8*0,6+9*1</t>
  </si>
  <si>
    <t>Mái che tôn đỡ sắt, trụ sắt 
DT=9,1*1,55+3,2*1,1+8,6*9</t>
  </si>
  <si>
    <t>Ốp men 
DT=6*1+5*1,3+2,4*8,5</t>
  </si>
  <si>
    <t>Sân xi măng:
DT=4,7*2,3</t>
  </si>
  <si>
    <t>Cửa sắt hỗn hợp
DT=2,36*2</t>
  </si>
  <si>
    <t>Ốp tôn:
DT=3*1,5</t>
  </si>
  <si>
    <t>B40 DT=11.8*1+3*1</t>
  </si>
  <si>
    <t>Bậc cấp xây blo:
KT=2.7*0.6*0.25*2 bậc +12.6*2.95*0.7</t>
  </si>
  <si>
    <t>Sân xi măng:
DT=14*3,1+6,6*8,5</t>
  </si>
  <si>
    <t>thiếu, kiểm tra lại kích thước (quá lớn)</t>
  </si>
  <si>
    <t>Kè xây đá hộc:
KT=14*1,1*0,3</t>
  </si>
  <si>
    <t>QĐ 65, PL 2, XVIII, 1</t>
  </si>
  <si>
    <t>Cây sanh d=40cm: 1cây</t>
  </si>
  <si>
    <t>Cây mứt d=30cm: 1 cây</t>
  </si>
  <si>
    <t>Cây thầu đâu d=30cm: 2 cây</t>
  </si>
  <si>
    <t>Hầm rút: KT=1,5*2*2</t>
  </si>
  <si>
    <t>Ông Trần Vĩnh ( đại diện thừa kế). Đ/c: 6/126 Bùi Thị Xuân. (thửa 49 tờ 1)</t>
  </si>
  <si>
    <t>1. Nhà cấp III, khung BTCT; móng BTCT; kết hợp xây gạch đá, tường gạch; sàn BTCT; mái tôn; nền, sàn lát gạch,
DT1=2,96*11,25
DT2=8*2,96</t>
  </si>
  <si>
    <t>QĐ 65, PL1, I, 2.2b</t>
  </si>
  <si>
    <t>Ốp gạch men bếp
DT=4,5*1,4+0,6*0,6</t>
  </si>
  <si>
    <t>Mái hiên liền nhà cấp III ( 2 tầng ) , trụ BTCT, móng 
BTCT, trần BTCT, nền gạch men:
DT=1,4*2,96+3,17*1,96</t>
  </si>
  <si>
    <t>Laphong tôn: DT=2,68*8</t>
  </si>
  <si>
    <t xml:space="preserve">Kèm theo Tờ trình số          /TTr-TTPTQĐ ngày       /       /2023 của Trung tâm Phát triển quỹ đất thành phố Huế </t>
  </si>
  <si>
    <t xml:space="preserve">Không có đăng ký thường trú tại địa chỉ giải tỏa, chỉ có đăng ký tạm trú từ ngày 28/8/2021 đến 28/8/2023 (không đảm bảo về điều kiện tách hộ theo Luật cư trú).
có 04 nhân khẩu sổ tạm trú.
</t>
  </si>
  <si>
    <t xml:space="preserve">Con ông, bà Lê Thị Hồng - Nguyễn Văn Anh.
Đăng ký kết hôn ngày  12/4/2008, 
</t>
  </si>
  <si>
    <t xml:space="preserve">Hiện đang sinh sống tại thửa đất giải tỏa, mất chổ ở và không có nhà ở đất ở nào khác trên địa bàn phường Phường Đúc
Đủ điều kiện tách hộ, 
có 02 nhân khẩu
Con trai khai sinh ngày 12/12/2005
</t>
  </si>
  <si>
    <t xml:space="preserve">Con ông, bà Hà Hai - Nguyễn Thị Sen. 
Chưa kết hôn
</t>
  </si>
  <si>
    <t xml:space="preserve">Con ông, bà Hà Hai - Nguyễn Thị Sen. 
Kết hôn ngày 14/4/2003 
</t>
  </si>
  <si>
    <t xml:space="preserve">Hiện đang sinh sống tại thửa đất giải tỏa, mất chổ ở và không có nhà ở đất ở nào khác trên địa bàn phường Phường Đúc
đủ điều kiện tách hộ, có 06 nhân khẩu
</t>
  </si>
  <si>
    <t xml:space="preserve">Con bà Hà Thị Mười, cháu bà Nguyễn Thị Sen
Chưa kết hôn
</t>
  </si>
  <si>
    <t>Hiện đang sinh sống tại thửa đất giải tỏa, mất chổ ở và không có nhà ở đất ở nào khác trên địa bàn phường Phường Đúc
Đủ điều kiện tách hộ, có 02 nhân khẩu.
Con trai  ngày 06/1/2014</t>
  </si>
  <si>
    <t xml:space="preserve">Con bà Trần Thị Phường. 
Đăng ký kết hôn ngày 19/2/2009
</t>
  </si>
  <si>
    <t xml:space="preserve">Hiện đang sinh sống tại thửa đất giải tỏa, mất chổ ở và không có nhà ở đất ở nào khác trên địa bàn phường Phường Đúc
đủ điều kiện tách hộ, có 04 nhân khẩu
</t>
  </si>
  <si>
    <t xml:space="preserve">Con bà Trần Thị Phường. Đăng ký kết hôn ngày 30/3/2004
</t>
  </si>
  <si>
    <t xml:space="preserve">Hiện đang sinh sống tại thửa đất giải tỏa, mất chổ ở và không có nhà ở đất ở nào khác trên địa bàn phường Phường Đúc
đủ điều kiện tách hộ, có 05 nhân khẩu
</t>
  </si>
  <si>
    <t xml:space="preserve">Con bà Trần Thị Phường. Đăng ký kết hôn ngày 11/4/2008
</t>
  </si>
  <si>
    <t>Hiện đang sinh sống tại thửa đất giải tỏa, mất chổ ở và không có nhà ở đất ở nào khác trên địa bàn phường Phường Đúc
đủ điều kiện tách hộ, có 03 nhân khẩu</t>
  </si>
  <si>
    <t xml:space="preserve">Con bà Trần Thị Phường. Đăng ký kết hôn ngày 14/4/2003
</t>
  </si>
  <si>
    <t xml:space="preserve">Con bà Trần Thị Phường. 
Đăng ký kết hôn ngày 14/3/2011
</t>
  </si>
  <si>
    <t xml:space="preserve">Hiện đang sinh sống tại thửa đất giải tỏa, mất chổ ở và không có nhà ở đất ở nào khác trên địa bàn phường Phường Đúc
đủ điều kiện tách hộ, 04 nhân khẩu.
</t>
  </si>
  <si>
    <t xml:space="preserve">Hiện đang sinh sống tại thửa đất giải tỏa, mất chổ ở và không có nhà ở đất ở nào khác trên địa bàn phường Phường Đúc
đủ điều kiện tách hộ, có 02 nhân khẩu </t>
  </si>
  <si>
    <t xml:space="preserve">Con ông, bà Trần Lập - Nguyễn Thị Cháu.
Đăng ký kết hôn ngày 10/12/1984
</t>
  </si>
  <si>
    <t xml:space="preserve">Hiện đang sinh sống tại thửa đất giải tỏa, mất chổ ở và không có nhà ở đất ở nào khác trên địa bàn phường Phường Đúc
Đủ điều kiện tách hộ, có 02 nhân khẩu
</t>
  </si>
  <si>
    <t xml:space="preserve">Cháu ông, bà Trần Lập - Nguyễn Thị Cháu. 
Đăng ký kết hôn ngày 04/9/2015
</t>
  </si>
  <si>
    <t>Hiện đang sinh sống tại thửa đất giải tỏa, mất chổ ở và không có nhà ở đất ở nào khác trên địa bàn phường Phường Đúc
Đủ điều kiện tách hộ, có 06 nhân khẩu</t>
  </si>
  <si>
    <t xml:space="preserve">Con bà Trần Thị Phường. 
Đã ly hôn Quyết định số 10/QĐTTLH ngày 05/5/2005 của Tòa án nhân dân Huyện Phú Vang trước thời điểm Thông báo thu hồi đất số 386/TB-UBND ngày 15/11/2021.
</t>
  </si>
  <si>
    <t>Hiện đang sinh sống tại thửa đất giải tỏa, mất chổ ở và không có nhà ở đất ở nào khác trên địa bàn phường Phường Đúc
Đủ điều kiên tách hộ, có 05 nhân khẩu</t>
  </si>
  <si>
    <t xml:space="preserve">Con ông, bà Lê Văn Mến - Trần Thị Hường. Đăng ký kết hôn ngày 20/4/2012
</t>
  </si>
  <si>
    <t>Khoản 1 Điều 9 QĐ số 50/QĐ-UBND ngày 25/9/2023 của UBND tỉnh</t>
  </si>
  <si>
    <t>Khoản 2 Điều 9 QĐ số 50/QĐ-UBND ngày 25/9/2023 của UBND tỉnh</t>
  </si>
  <si>
    <t>Khoản 4 Điều 9 QĐ số 50/QĐ-UBND ngày 25/9/2023 của UBND tỉnh</t>
  </si>
  <si>
    <t>Khoản 9 Điều 29 QĐ số 50/QĐ-UBND ngày 25/9/2023 của UBND tỉnh</t>
  </si>
  <si>
    <t>Giao 01 lô đất cho các đồng thừa kế của ông Trần Lập - Nguyễn Thị Cháu.</t>
  </si>
  <si>
    <t>Khoản 8 Điều 29 QĐ số 50/QĐ-UBND ngày 25/9/2023 của UBND tỉnh</t>
  </si>
  <si>
    <t xml:space="preserve">Con ông, bà Trần Văn Hiền - Nguyễn Thị Lệ Hà. 
Cháu ông, bà Trần Lập - Nguyễn Thị Cháu.
</t>
  </si>
  <si>
    <t>Tổng cộng có 28 trường hợp, trong đó có 25 trường hợp đủ điều kiện đề xuất phương án giao đất, 3 trường hợp không đủ điều kiện giao đất.</t>
  </si>
  <si>
    <t>Xin y kien lach ra</t>
  </si>
  <si>
    <t>thieeus bb kiem ke</t>
  </si>
  <si>
    <t>(Kèm theo Tờ trình số        /TTr-TTPTQĐ ngày       /10/2023 của Trung tâm Phát triển quỹ đất 
thành phố Huế)</t>
  </si>
  <si>
    <t>Tên chủ sử dụng</t>
  </si>
  <si>
    <t>BĐĐC</t>
  </si>
  <si>
    <t>BĐ GPMB</t>
  </si>
  <si>
    <t>Loại đất</t>
  </si>
  <si>
    <t>TT</t>
  </si>
  <si>
    <t xml:space="preserve">HS </t>
  </si>
  <si>
    <t>Số thửa</t>
  </si>
  <si>
    <t>Tờ BĐ</t>
  </si>
  <si>
    <t>Số tờ BĐ</t>
  </si>
  <si>
    <t>Diện tích</t>
  </si>
  <si>
    <t>DTTH</t>
  </si>
  <si>
    <t>DTCL</t>
  </si>
  <si>
    <t>ODT</t>
  </si>
  <si>
    <t>TIN</t>
  </si>
  <si>
    <t>Ông, bà Nguyễn Trân Phương - Hoàng Thị Dậu; Đ/c: 102 Bùi Thị Xuân. 0903843751</t>
  </si>
  <si>
    <t>Ông, bà Lê Thị Ngọc Chấn - Trần Ngọc Thanh; Đ/c: 98 Bùi Thị Xuân. 0945503639</t>
  </si>
  <si>
    <t>Ông, bà Ngô Đình Quang - Tôn Nữ Thiện Lập; Đ/c: 17 kiệt 134 Bùi Thị Xuân. 0376212306</t>
  </si>
  <si>
    <t>Ông, bà Lê Tiến Dũng - Đỗ Thị Quyên; Đ/c: 19/134 Bùi Thị Xuân. 0338283338</t>
  </si>
  <si>
    <t>Ông, bà Nguyễn Xuân Long - Ngô Thị Lệ Thu; Đ/c: 25/134 Bùi Thị Xuân. 0934979146</t>
  </si>
  <si>
    <t>Ông, bà Trần Đại Việt - Trần Thị Dung; Đ/c: 27 Kiệt 134 Bùi Thị Xuân. 0934116763</t>
  </si>
  <si>
    <t>Ông, bà Nguyễn Hữu Bổng - Nguyễn Thị Nga; Đ/c: 126 Bùi Thị Xuân. 0906470405</t>
  </si>
  <si>
    <t>Ông, bà Lê Ngọc Thành - Huỳnh Thị Như Ý; Đ/c: 15/134 Bùi Thị Xuân. 0901995099</t>
  </si>
  <si>
    <t>Bà Lê Thị Mừng; Đ/c: 154 Bùi Thị Xuân</t>
  </si>
  <si>
    <t>Ông, bà Lê Hữu Hiền - Trương Thị Lập; Đ/c: 2/78 Mai Thúc Loan.</t>
  </si>
  <si>
    <t>ông, bà Trần Hồng Vũ - Nguyễn Thị Tuyết; Đ/c: 16/17 Kiệt 292 Bùi Thị Xuân</t>
  </si>
  <si>
    <t xml:space="preserve">9+10 </t>
  </si>
  <si>
    <t>12+13</t>
  </si>
  <si>
    <t>14+15</t>
  </si>
  <si>
    <t>Ông, bà Phan Văn Bông - Phan Thị Lệ Thủy; Đ/c: 16/9 kiệt 292 Bùi Thị Xuân.</t>
  </si>
  <si>
    <t>Ông, bà Hồ Văn Truyền - Trần Hồng Lan; Đ/c: 30 Lịch Đợi</t>
  </si>
  <si>
    <t>Lê Văn Mến - Trần Thị Hường; Đ/c: 16/1 Kiệt 292 Bùi Thị Xuân</t>
  </si>
  <si>
    <t>Tổng</t>
  </si>
  <si>
    <t xml:space="preserve">PHỤ LỤC 2:  PHƯƠNG ÁN GIAO ĐẤT TÁI ĐỊNH CƯ CHO CÁC HỘ GIA ĐÌNH, CÁ NHÂN GIẢI TỎA DỰ ÁN  DỰ ÁN ĐƯỜNG ĐI BỘ ĐOẠN TỪ CẦU LÒN ĐẾN HUYỀN TRÂN CÔNG CHÚA, THÀNH PHỐ HUẾ </t>
  </si>
  <si>
    <t xml:space="preserve">
PHỤ LỤC 3: THU HỒI ĐẤT CÁC HỘ GIA ĐÌNH, CÁ NHÂN KHI NHÀ NƯỚC THU HỒI ĐẤT THỰC HIỆNDỰ ÁN  DỰ ÁN ĐƯỜNG ĐI BỘ ĐOẠN TỪ CẦU LÒN ĐẾN HUYỀN TRÂN CÔNG CHÚA, THÀNH PHỐ HUẾ </t>
  </si>
  <si>
    <t>Ông, bà Dương Văn Đơn - Ngô Thị Diệp; Đ/c: 7/16/292 Bùi thị Xuân - Tp Huế</t>
  </si>
  <si>
    <t>Xác nhận của UBND phường Phường Đúc tại Công văn số  120/UBND-ĐC ngày 10/8/2023)</t>
  </si>
  <si>
    <t xml:space="preserve">Con bà Trần Thị Phường. 
Đã ly hôn Quyết định ly hôn số 168/2022/QĐST-HNGD ngày 22/4/2022 
</t>
  </si>
  <si>
    <t>Hiện đang sinh sống tại thửa đất giải tỏa, có nóc nhà riêng, mất chổ ở và không có nhà ở đất ở nào khác trên địa bàn phường Phường Đúc. 
 Đủ điều kiện tách hộ, có 02 nhân khẩu
Biên bản xác nhận các hộ có nóc nhà riêng ngày 29/9/2023.
Tờ khai có xác nhận nhà ở UBND phường xác nhận ngày 29/9/2023.</t>
  </si>
  <si>
    <t xml:space="preserve">Giao 01 lô đất tái định cư </t>
  </si>
  <si>
    <t>Hiện đang sinh sống tại thửa đất giải tỏa, có nóc nhà riêng, mất chổ ở và không có nhà ở đất ở nào khác trên địa bàn phường Phường Đúc, 
Đủ điều kiện tách hộ, có 07 nhân khẩu
Biên bản xác nhận các hộ có nóc nhà riêng ngày 29/9/2023.
Tờ khai có xác nhận nhà ở UBND phường xác nhận ngày 29/9/2023.</t>
  </si>
  <si>
    <t>Hiện đang sinh sống tại thửa đất giải tỏa, có nóc nhà riêng, mất chổ ở và không có nhà ở đất ở nào khác trên địa bàn phường Phường Đúc, 
Đủ điều kiện tách hộ, có 05 nhân khẩu 
Biên bản xác nhận các hộ có nóc nhà riêng ngày 29/9/2023.
Tờ khai có xác nhận nhà ở UBND phường xác nhận ngày 29/9/2023.</t>
  </si>
  <si>
    <t>Bà Trần Thị Mơ và các đồng thừa kế của ông Dương Văn Châu. Đ/c: 16/9 Kiệt 292 Bùi Thị Xuân</t>
  </si>
  <si>
    <t>Bà Trần Thị Phường và các đồng thừa kế ông Hà Văn Mát; Đ/c: 16/7 Kiệt 292 Bùi Thị Xuân.</t>
  </si>
  <si>
    <t xml:space="preserve">Ông Hà Hai và các đồng thừa kế bà Nguyễn Thị Sen. Đ/c: 16/5 kiệt 292 Bùi Thị Xuân </t>
  </si>
  <si>
    <t>Bà Lê Thị Hồng các đồng thừa kế ông Nguyễn Văn Anh; Đ/c: 16/3 kiệt 292 Bùi Thị Xuân.</t>
  </si>
  <si>
    <t>Ông Lâm Thành Tri và các đồng thừa kế ông, bà Lâm Thành Tham - Hồ Thị Nghính; Đ/c:  88 Bùi Thị Xuân. 0905494896</t>
  </si>
  <si>
    <t>Ông Hoàng Như Phô và các đồng thừa kế ông, bà Hòa Hoàng - Nguyễn Thị Hoa; Đ/c: 72 Bùi Thị Xuân. 0986368147</t>
  </si>
  <si>
    <t>Ông Trần Văn Hiền và các đồng thừa kế ông, bà Trần Lập - Nguyễn Thị Cháu; Đ/c: 16/15 Kiệt 292 Bùi Thị Xuân.</t>
  </si>
  <si>
    <t>Bà Tôn Nữ Mỹ Ý; Đ/c: 86 Bùi Thị Xuân. 0388621648</t>
  </si>
  <si>
    <t>Ông, bà Lê Bá Điều- Trần Thị Điều; Đ/c: 96 Bùi Thị Xuân. 0944719046</t>
  </si>
  <si>
    <t xml:space="preserve"> Nhà thờ Chi 2B Lê Bá -  bà Trần Thị Điều đại diện; Đ/c: 96 Bùi Thị Xuân. 0944719046</t>
  </si>
  <si>
    <t>QĐ số 50/QĐ-UBND ngày 25/9/2023 của UBND tỉnh</t>
  </si>
  <si>
    <r>
      <t xml:space="preserve">Không đủ điều kiện theo tiêu chuẩn tại Khoản 2 Điều 9 QĐ số 50/QĐ-UBND ngày 25/9/2023 </t>
    </r>
    <r>
      <rPr>
        <i/>
        <sz val="12"/>
        <color indexed="8"/>
        <rFont val="Times New Roman"/>
        <family val="1"/>
      </rPr>
      <t>''Trường hợp trong hộ gia đình quy định tại khoản 1 Điều này mà có nhiều thế hệ, nhiều cặp vợ chồng cùng chung sống trên một thửa đất ở bị thu hồi nếu đủ điều kiện để tách thành từng hộ gia đình riêng theo quy định của pháp luật về cư trú''</t>
    </r>
  </si>
  <si>
    <t>Các hộ phụ chưa xác nhận cụ thể thời điểm sinh sống</t>
  </si>
  <si>
    <r>
      <rPr>
        <sz val="12"/>
        <color indexed="10"/>
        <rFont val="Times New Roman"/>
        <family val="1"/>
      </rPr>
      <t xml:space="preserve">Khoản 9 </t>
    </r>
    <r>
      <rPr>
        <sz val="12"/>
        <color indexed="8"/>
        <rFont val="Times New Roman"/>
        <family val="1"/>
      </rPr>
      <t>Điều 29 QĐ số 50/QĐ-UBND ngày 25/9/2023 của UBND tỉnh</t>
    </r>
  </si>
  <si>
    <t>Đủ điều kiện bồi thường đất nông nghiệp liền kề 149.4m2 cho bà Trần Thị Mơ và các đồng thừa kế ông Dương Văn Châu</t>
  </si>
  <si>
    <t xml:space="preserve">Ông, bà Hà Văn Hùng - Nguyễn Thị Minh mua lại đất của ông, bà Dương Văn Châu - Trần Thị Mơ bằng giấy viết tay năm 2006, Đất bồi thường bằng loại đất NN cho bà Trần Thị Mơ và các đồng thừa kế ông Dương Văn Châu. </t>
  </si>
  <si>
    <t>Ông, bà Hà Văn Hùng - Nguyễn Thị Minh. Đ/c: 16/7/292 Bùi thị Xuân - Tp Huế,</t>
  </si>
  <si>
    <r>
      <t>Hiện đang sinh sống tại thửa đất giải tỏa, có nóc nhà riêng, mất chổ ở và không có nhà ở đất ở nào khác trên địa bàn phường Phường Đúc.  
Đủ điều kiện tách hộ,</t>
    </r>
    <r>
      <rPr>
        <sz val="12"/>
        <color indexed="10"/>
        <rFont val="Times New Roman"/>
        <family val="1"/>
      </rPr>
      <t xml:space="preserve"> có 01 nhân khẩu</t>
    </r>
    <r>
      <rPr>
        <sz val="12"/>
        <color indexed="8"/>
        <rFont val="Times New Roman"/>
        <family val="1"/>
      </rPr>
      <t xml:space="preserve">
Biên bản xác nhận các hộ có nóc nhà riêng ngày 29/9/2023.
Tờ khai có xác nhận nhà ở UBND phường xác nhận ngày 29/9/2023.</t>
    </r>
  </si>
  <si>
    <r>
      <rPr>
        <sz val="12"/>
        <color indexed="10"/>
        <rFont val="Times New Roman"/>
        <family val="1"/>
      </rPr>
      <t xml:space="preserve">Khoản 9 Điều 29 </t>
    </r>
    <r>
      <rPr>
        <sz val="12"/>
        <color indexed="8"/>
        <rFont val="Times New Roman"/>
        <family val="1"/>
      </rPr>
      <t>QĐ số 50/QĐ-UBND ngày 25/9/2023 của UBND tỉnh</t>
    </r>
  </si>
  <si>
    <t>ĐC hộ khẩu khác ĐC đất thu hồi; xem ông Mẫn cháu quan hệ thế nào với hộ chính</t>
  </si>
  <si>
    <t>Trần Văn Hiền - Nguyễn Thị Lệ Hà (chết). Đ/c: 16/15 Kiệt 292 Bùi Thị Xuân, phường Phường Đúc, thành phố Huế</t>
  </si>
  <si>
    <t>Trần Lập ( chết) - Nguyễn Thị Cháu ( chết). Đ/c: 16/15 Kiệt 292 Bùi Thị Xuân., phường Phường Đúc, thành phố Huế</t>
  </si>
  <si>
    <t>Hiện trạng có tổng cộng 3 nhà nhưng GCN cấp năm 2005 đã có 2 nhà?</t>
  </si>
  <si>
    <t>Mẹ đơn thân</t>
  </si>
  <si>
    <r>
      <t xml:space="preserve">Bà Nguyễn Thị Hồng Bích. Đ/c: Đ/c:  </t>
    </r>
    <r>
      <rPr>
        <b/>
        <sz val="12"/>
        <color indexed="10"/>
        <rFont val="Times New Roman"/>
        <family val="1"/>
      </rPr>
      <t>16/5 kiệt 292 Bùi Thị Xuân, phường Phường Đúc, thành phố Huế</t>
    </r>
  </si>
  <si>
    <t>Mẹ đơn thân; ĐC sổ HK tại 161/14 Bùi Thị Xuân, Phường Đúc, khác với đc thửa đất; cháu ngoại chủ đất; không phê duyệt nhà riêng</t>
  </si>
  <si>
    <t>HT có 2 nhà nhưng kk 3 nhà?</t>
  </si>
  <si>
    <t>ĐC sổ HK tại 161/14 Bùi Thị Xuân, Phường Đúc, khác với đc thửa đất; HK ông Lộc tại Xuân Phú</t>
  </si>
  <si>
    <t>Không có Sổ HK, ko đủ tái định cư; Ly hôn trước thời điểm TB THĐ</t>
  </si>
  <si>
    <r>
      <t xml:space="preserve">Bà Hà Thị Dạng; </t>
    </r>
    <r>
      <rPr>
        <b/>
        <sz val="12"/>
        <color indexed="10"/>
        <rFont val="Times New Roman"/>
        <family val="1"/>
      </rPr>
      <t>Đ/c: 16/7 Kiệt 292 Bùi Thị Xuân, phường Phường Đúc, thành phố Huế</t>
    </r>
  </si>
  <si>
    <r>
      <rPr>
        <b/>
        <sz val="12"/>
        <color indexed="10"/>
        <rFont val="Times New Roman"/>
        <family val="1"/>
      </rPr>
      <t>Bà Hà Thị Hồng</t>
    </r>
    <r>
      <rPr>
        <b/>
        <sz val="12"/>
        <color indexed="8"/>
        <rFont val="Times New Roman"/>
        <family val="1"/>
      </rPr>
      <t>; Đ/c: 16/7 Kiệt 292 Bùi Thị Xuân, phường Phường Đúc, thành phố Huế</t>
    </r>
  </si>
  <si>
    <t>Nằm ngoài ranh giới thu hồi (ngoài thửa đất bà Mơ) nên ko TĐC</t>
  </si>
  <si>
    <t>Cắt chưa phê duyệt</t>
  </si>
  <si>
    <t>ko (nhà ông Hiền)</t>
  </si>
  <si>
    <t>Không phê duyệt nhà; nếu được điều chỉnh đối tường tđc thành 2 vợ chồng</t>
  </si>
  <si>
    <t>Bằng chữ: Năm trăm sáu mươi sáu triệu bốn trăm lẻ hai nghìn đồng.</t>
  </si>
  <si>
    <t xml:space="preserve">PL: ÁP GIÁ BỒI THƯỜNG, HỖ TRỢ BỔ SUNG CHO HỘ GIA ĐÌNH, CÁ NHÂN KHI NHÀ NƯỚC THU HỒI ĐẤT THỰC HIỆN DỰ ÁN  DỰ ÁN ĐƯỜNG ĐI BỘ ĐOẠN TỪ CẦU LÒN ĐẾN HUYỀN TRÂN CÔNG CHÚA, THÀNH PHỐ HUẾ </t>
  </si>
  <si>
    <r>
      <t>đ/m</t>
    </r>
    <r>
      <rPr>
        <sz val="10"/>
        <rFont val="Arial"/>
        <family val="2"/>
      </rPr>
      <t>²</t>
    </r>
  </si>
  <si>
    <t>(Kèm theo Quyết định số               /QĐ-UBND ngày       /      /2023 của UBND Thành phố)</t>
  </si>
  <si>
    <t>Ông Trần Văn Hiền đại diện thừa kế của ông bà Trần Lập - Nguyễn Thị Cháu. Đ/c: 16/15 kiệt 292 Bùi Thị Xuân (Đất được bồi thường cho các đồng thừa kế của ông bà Trần Lập - Nguyễn Thị Cháu)</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</si>
</sst>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00_);_(&quot;$&quot;* \(#,##0.00\);_(&quot;$&quot;* &quot;-&quot;&quot;?&quot;&quot;?&quot;_);_(@_)"/>
    <numFmt numFmtId="181" formatCode="_(* #,##0.00_);_(* \(#,##0.00\);_(* &quot;-&quot;&quot;?&quot;&quot;?&quot;_);_(@_)"/>
    <numFmt numFmtId="182" formatCode="_(* #,##0_);_(* \(#,##0\);_(* &quot;-&quot;&quot;?&quot;&quot;?&quot;_);_(@_)"/>
    <numFmt numFmtId="183" formatCode="0.0"/>
    <numFmt numFmtId="184" formatCode="#,##0.0"/>
    <numFmt numFmtId="185" formatCode="0.000"/>
    <numFmt numFmtId="186" formatCode="_(* #,##0.0_);_(* \(#,##0.0\);_(* &quot;-&quot;&quot;?&quot;&quot;?&quot;_);_(@_)"/>
    <numFmt numFmtId="187" formatCode="#,##0;[Red]#,##0"/>
    <numFmt numFmtId="188" formatCode="_(* #,##0_);_(* \(#,##0\);_(* &quot;-&quot;??_);_(@_)"/>
    <numFmt numFmtId="189" formatCode="#,##0.000"/>
    <numFmt numFmtId="190" formatCode="#,##0.00;[Red]#,##0.00"/>
    <numFmt numFmtId="191" formatCode="#,##0.0;[Red]#,##0.0"/>
    <numFmt numFmtId="192" formatCode="#,##0\ &quot;DM&quot;;\-#,##0\ &quot;DM&quot;"/>
    <numFmt numFmtId="193" formatCode="_ &quot;\&quot;* #,##0_ ;_ &quot;\&quot;* \-#,##0_ ;_ &quot;\&quot;* &quot;-&quot;_ ;_ @_ "/>
    <numFmt numFmtId="194" formatCode="_ &quot;\&quot;* #,##0.00_ ;_ &quot;\&quot;* \-#,##0.00_ ;_ &quot;\&quot;* &quot;-&quot;??_ ;_ @_ "/>
    <numFmt numFmtId="195" formatCode="_ * #,##0_ ;_ * \-#,##0_ ;_ * &quot;-&quot;_ ;_ @_ "/>
    <numFmt numFmtId="196" formatCode="_(\$* #,##0.00_);_(\$* \(#,##0.00\);_(\$* &quot;-&quot;??_);_(@_)"/>
    <numFmt numFmtId="197" formatCode="\$#,##0\ ;\(\$#,##0\)"/>
    <numFmt numFmtId="198" formatCode="&quot;\&quot;#,##0;[Red]\-&quot;\&quot;#,##0"/>
    <numFmt numFmtId="199" formatCode="_-* #,##0.0\ _F_-;\-* #,##0.0\ _F_-;_-* &quot;-&quot;??\ _F_-;_-@_-"/>
    <numFmt numFmtId="200" formatCode="_-* #,##0\ _F_-;\-* #,##0\ _F_-;_-* &quot;-&quot;\ _F_-;_-@_-"/>
    <numFmt numFmtId="201" formatCode="#,###,###.00"/>
    <numFmt numFmtId="202" formatCode="#,###,###,###.00"/>
    <numFmt numFmtId="203" formatCode="#,###,###"/>
    <numFmt numFmtId="204" formatCode="#,###,###,###.000"/>
    <numFmt numFmtId="205" formatCode="&quot;\&quot;#,##0.00;[Red]&quot;\&quot;\-#,##0.00"/>
    <numFmt numFmtId="206" formatCode="&quot;\&quot;#,##0;[Red]&quot;\&quot;\-#,##0"/>
    <numFmt numFmtId="207" formatCode="0.0%"/>
    <numFmt numFmtId="208" formatCode="#,##0\ &quot;₫&quot;;[Red]#,##0\ &quot;₫&quot;"/>
    <numFmt numFmtId="209" formatCode="#,##0\ _₫"/>
  </numFmts>
  <fonts count="121">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u val="single"/>
      <sz val="11"/>
      <color indexed="12"/>
      <name val="Calibri"/>
      <family val="2"/>
    </font>
    <font>
      <u val="single"/>
      <sz val="11"/>
      <color indexed="36"/>
      <name val="Calibri"/>
      <family val="2"/>
    </font>
    <font>
      <sz val="12"/>
      <color indexed="10"/>
      <name val="Times New Roman"/>
      <family val="1"/>
    </font>
    <font>
      <sz val="8"/>
      <name val="Calibri"/>
      <family val="2"/>
    </font>
    <font>
      <sz val="10"/>
      <name val="Arial"/>
      <family val="2"/>
    </font>
    <font>
      <b/>
      <sz val="13.5"/>
      <name val="Times New Roman"/>
      <family val="1"/>
    </font>
    <font>
      <i/>
      <sz val="12"/>
      <name val="Times New Roman"/>
      <family val="1"/>
    </font>
    <font>
      <sz val="14"/>
      <name val="Times New Roman"/>
      <family val="1"/>
    </font>
    <font>
      <b/>
      <sz val="10"/>
      <name val="Arial"/>
      <family val="2"/>
    </font>
    <font>
      <sz val="11"/>
      <name val="Times New Roman"/>
      <family val="1"/>
    </font>
    <font>
      <sz val="10"/>
      <name val="Times New Roman"/>
      <family val="1"/>
    </font>
    <font>
      <b/>
      <i/>
      <sz val="12"/>
      <name val="Times New Roman"/>
      <family val="1"/>
    </font>
    <font>
      <sz val="14"/>
      <name val="??"/>
      <family val="3"/>
    </font>
    <font>
      <sz val="11"/>
      <name val="??"/>
      <family val="3"/>
    </font>
    <font>
      <sz val="12"/>
      <name val="????"/>
      <family val="0"/>
    </font>
    <font>
      <sz val="10"/>
      <name val="???"/>
      <family val="3"/>
    </font>
    <font>
      <sz val="11"/>
      <color indexed="9"/>
      <name val="Calibri"/>
      <family val="2"/>
    </font>
    <font>
      <sz val="12"/>
      <name val="±¼¸²Ã¼"/>
      <family val="3"/>
    </font>
    <font>
      <sz val="12"/>
      <name val="¹UAAA¼"/>
      <family val="3"/>
    </font>
    <font>
      <sz val="12"/>
      <name val="µ¸¿òÃ¼"/>
      <family val="3"/>
    </font>
    <font>
      <sz val="12"/>
      <name val=".VnTime"/>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1"/>
    </font>
    <font>
      <sz val="12"/>
      <name val="뼻뮝"/>
      <family val="1"/>
    </font>
    <font>
      <sz val="10"/>
      <name val="굴림체"/>
      <family val="3"/>
    </font>
    <font>
      <sz val="12"/>
      <name val="新細明體"/>
      <family val="1"/>
    </font>
    <font>
      <sz val="8"/>
      <name val="Times New Roman"/>
      <family val="1"/>
    </font>
    <font>
      <sz val="8"/>
      <color indexed="8"/>
      <name val="Times New Roman"/>
      <family val="1"/>
    </font>
    <font>
      <b/>
      <sz val="10"/>
      <color indexed="8"/>
      <name val="Times New Roman"/>
      <family val="1"/>
    </font>
    <font>
      <vertAlign val="superscript"/>
      <sz val="10"/>
      <name val="Times New Roman"/>
      <family val="1"/>
    </font>
    <font>
      <vertAlign val="superscript"/>
      <sz val="11"/>
      <name val="Times New Roman"/>
      <family val="1"/>
    </font>
    <font>
      <sz val="11"/>
      <name val=".VnArial"/>
      <family val="2"/>
    </font>
    <font>
      <b/>
      <sz val="12.5"/>
      <name val="Times New Roman"/>
      <family val="1"/>
    </font>
    <font>
      <sz val="12.5"/>
      <name val="Times New Roman"/>
      <family val="1"/>
    </font>
    <font>
      <sz val="12"/>
      <color indexed="8"/>
      <name val=".VnTime"/>
      <family val="2"/>
    </font>
    <font>
      <sz val="12.5"/>
      <color indexed="8"/>
      <name val="Times New Roman"/>
      <family val="1"/>
    </font>
    <font>
      <sz val="12.5"/>
      <color indexed="8"/>
      <name val=".VnTime"/>
      <family val="2"/>
    </font>
    <font>
      <i/>
      <sz val="12"/>
      <color indexed="8"/>
      <name val="Times New Roman"/>
      <family val="1"/>
    </font>
    <font>
      <b/>
      <sz val="12"/>
      <color indexed="10"/>
      <name val="Times New Roman"/>
      <family val="1"/>
    </font>
    <font>
      <b/>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56"/>
      <name val="Times New Roman"/>
      <family val="1"/>
    </font>
    <font>
      <sz val="10"/>
      <color indexed="10"/>
      <name val="Times New Roman"/>
      <family val="1"/>
    </font>
    <font>
      <sz val="11"/>
      <color indexed="8"/>
      <name val="Times New Roman"/>
      <family val="1"/>
    </font>
    <font>
      <sz val="12"/>
      <color indexed="62"/>
      <name val="Times New Roman"/>
      <family val="1"/>
    </font>
    <font>
      <b/>
      <sz val="11"/>
      <color indexed="8"/>
      <name val="Times New Roman"/>
      <family val="1"/>
    </font>
    <font>
      <b/>
      <sz val="12.5"/>
      <color indexed="8"/>
      <name val="Times New Roman"/>
      <family val="1"/>
    </font>
    <font>
      <b/>
      <sz val="12.5"/>
      <color indexed="8"/>
      <name val=".VnTime"/>
      <family val="2"/>
    </font>
    <font>
      <sz val="11"/>
      <color indexed="8"/>
      <name val=".VnArial"/>
      <family val="2"/>
    </font>
    <font>
      <sz val="12"/>
      <color indexed="56"/>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b/>
      <sz val="12"/>
      <color rgb="FF002060"/>
      <name val="Times New Roman"/>
      <family val="1"/>
    </font>
    <font>
      <sz val="12"/>
      <color theme="1"/>
      <name val="Times New Roman"/>
      <family val="1"/>
    </font>
    <font>
      <sz val="10"/>
      <color rgb="FFFF0000"/>
      <name val="Times New Roman"/>
      <family val="1"/>
    </font>
    <font>
      <sz val="11"/>
      <color theme="1"/>
      <name val="Times New Roman"/>
      <family val="1"/>
    </font>
    <font>
      <b/>
      <sz val="12"/>
      <color theme="1"/>
      <name val="Times New Roman"/>
      <family val="1"/>
    </font>
    <font>
      <sz val="12"/>
      <color theme="3" tint="0.39998000860214233"/>
      <name val="Times New Roman"/>
      <family val="1"/>
    </font>
    <font>
      <b/>
      <sz val="11"/>
      <color theme="1"/>
      <name val="Times New Roman"/>
      <family val="1"/>
    </font>
    <font>
      <sz val="12.5"/>
      <color theme="1"/>
      <name val="Times New Roman"/>
      <family val="1"/>
    </font>
    <font>
      <sz val="12.5"/>
      <color theme="1"/>
      <name val=".VnTime"/>
      <family val="2"/>
    </font>
    <font>
      <b/>
      <sz val="12.5"/>
      <color theme="1"/>
      <name val="Times New Roman"/>
      <family val="1"/>
    </font>
    <font>
      <b/>
      <sz val="12.5"/>
      <color theme="1"/>
      <name val=".VnTime"/>
      <family val="2"/>
    </font>
    <font>
      <sz val="11"/>
      <color theme="1"/>
      <name val=".VnArial"/>
      <family val="2"/>
    </font>
    <font>
      <sz val="12"/>
      <color rgb="FF002060"/>
      <name val="Times New Roman"/>
      <family val="1"/>
    </font>
    <font>
      <i/>
      <sz val="12"/>
      <color theme="1"/>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30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8" fillId="0" borderId="0" applyFont="0" applyFill="0" applyBorder="0" applyAlignment="0" applyProtection="0"/>
    <xf numFmtId="192" fontId="19"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77" fontId="20" fillId="0" borderId="0" applyFont="0" applyFill="0" applyBorder="0" applyAlignment="0" applyProtection="0"/>
    <xf numFmtId="9" fontId="19" fillId="0" borderId="0" applyFont="0" applyFill="0" applyBorder="0" applyAlignment="0" applyProtection="0"/>
    <xf numFmtId="0" fontId="21"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9"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9" fillId="2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9"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89"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9"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9"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89"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9"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89" fillId="3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89" fillId="3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9"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193" fontId="23" fillId="0" borderId="0" applyFont="0" applyFill="0" applyBorder="0" applyAlignment="0" applyProtection="0"/>
    <xf numFmtId="0" fontId="24" fillId="0" borderId="0" applyFont="0" applyFill="0" applyBorder="0" applyAlignment="0" applyProtection="0"/>
    <xf numFmtId="193" fontId="25" fillId="0" borderId="0" applyFont="0" applyFill="0" applyBorder="0" applyAlignment="0" applyProtection="0"/>
    <xf numFmtId="194" fontId="23" fillId="0" borderId="0" applyFont="0" applyFill="0" applyBorder="0" applyAlignment="0" applyProtection="0"/>
    <xf numFmtId="0" fontId="24" fillId="0" borderId="0" applyFont="0" applyFill="0" applyBorder="0" applyAlignment="0" applyProtection="0"/>
    <xf numFmtId="194" fontId="25" fillId="0" borderId="0" applyFont="0" applyFill="0" applyBorder="0" applyAlignment="0" applyProtection="0"/>
    <xf numFmtId="195" fontId="23" fillId="0" borderId="0" applyFont="0" applyFill="0" applyBorder="0" applyAlignment="0" applyProtection="0"/>
    <xf numFmtId="0" fontId="24" fillId="0" borderId="0" applyFont="0" applyFill="0" applyBorder="0" applyAlignment="0" applyProtection="0"/>
    <xf numFmtId="195" fontId="25" fillId="0" borderId="0" applyFont="0" applyFill="0" applyBorder="0" applyAlignment="0" applyProtection="0"/>
    <xf numFmtId="196" fontId="26" fillId="0" borderId="0" applyFont="0" applyFill="0" applyBorder="0" applyAlignment="0" applyProtection="0"/>
    <xf numFmtId="0" fontId="24" fillId="0" borderId="0" applyFont="0" applyFill="0" applyBorder="0" applyAlignment="0" applyProtection="0"/>
    <xf numFmtId="196" fontId="26" fillId="0" borderId="0" applyFont="0" applyFill="0" applyBorder="0" applyAlignment="0" applyProtection="0"/>
    <xf numFmtId="0" fontId="90" fillId="36"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4" fillId="0" borderId="0">
      <alignment/>
      <protection/>
    </xf>
    <xf numFmtId="0" fontId="25" fillId="0" borderId="0">
      <alignment/>
      <protection/>
    </xf>
    <xf numFmtId="0" fontId="24" fillId="0" borderId="0">
      <alignment/>
      <protection/>
    </xf>
    <xf numFmtId="0" fontId="25" fillId="0" borderId="0">
      <alignment/>
      <protection/>
    </xf>
    <xf numFmtId="0" fontId="91" fillId="37" borderId="1" applyNumberFormat="0" applyAlignment="0" applyProtection="0"/>
    <xf numFmtId="0" fontId="28" fillId="38" borderId="2" applyNumberFormat="0" applyAlignment="0" applyProtection="0"/>
    <xf numFmtId="0" fontId="28" fillId="38" borderId="2" applyNumberFormat="0" applyAlignment="0" applyProtection="0"/>
    <xf numFmtId="0" fontId="28" fillId="38" borderId="2" applyNumberFormat="0" applyAlignment="0" applyProtection="0"/>
    <xf numFmtId="0" fontId="28" fillId="38" borderId="2" applyNumberFormat="0" applyAlignment="0" applyProtection="0"/>
    <xf numFmtId="181" fontId="1" fillId="0" borderId="0" applyFont="0" applyFill="0" applyBorder="0" applyAlignment="0" applyProtection="0"/>
    <xf numFmtId="169"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1" fillId="0" borderId="0" applyFont="0" applyFill="0" applyBorder="0" applyAlignment="0" applyProtection="0"/>
    <xf numFmtId="3" fontId="10" fillId="0" borderId="0" applyFont="0" applyFill="0" applyBorder="0" applyAlignment="0" applyProtection="0"/>
    <xf numFmtId="180" fontId="1" fillId="0" borderId="0" applyFont="0" applyFill="0" applyBorder="0" applyAlignment="0" applyProtection="0"/>
    <xf numFmtId="168" fontId="1" fillId="0" borderId="0" applyFont="0" applyFill="0" applyBorder="0" applyAlignment="0" applyProtection="0"/>
    <xf numFmtId="197" fontId="10" fillId="0" borderId="0" applyFont="0" applyFill="0" applyBorder="0" applyAlignment="0" applyProtection="0"/>
    <xf numFmtId="0" fontId="92" fillId="39" borderId="3" applyNumberFormat="0" applyAlignment="0" applyProtection="0"/>
    <xf numFmtId="0" fontId="29" fillId="40" borderId="4" applyNumberFormat="0" applyAlignment="0" applyProtection="0"/>
    <xf numFmtId="0" fontId="29" fillId="40" borderId="4" applyNumberFormat="0" applyAlignment="0" applyProtection="0"/>
    <xf numFmtId="0" fontId="29" fillId="40" borderId="4" applyNumberFormat="0" applyAlignment="0" applyProtection="0"/>
    <xf numFmtId="0" fontId="29" fillId="40" borderId="4" applyNumberFormat="0" applyAlignment="0" applyProtection="0"/>
    <xf numFmtId="0" fontId="10" fillId="0" borderId="0" applyFont="0" applyFill="0" applyBorder="0" applyAlignment="0" applyProtection="0"/>
    <xf numFmtId="0" fontId="9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10" fillId="0" borderId="0" applyFont="0" applyFill="0" applyBorder="0" applyAlignment="0" applyProtection="0"/>
    <xf numFmtId="0" fontId="7" fillId="0" borderId="0" applyNumberFormat="0" applyFill="0" applyBorder="0" applyAlignment="0" applyProtection="0"/>
    <xf numFmtId="0" fontId="94" fillId="41"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5" applyNumberFormat="0" applyAlignment="0" applyProtection="0"/>
    <xf numFmtId="0" fontId="32" fillId="0" borderId="6">
      <alignment horizontal="left" vertical="center"/>
      <protection/>
    </xf>
    <xf numFmtId="0" fontId="95"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96" fillId="0" borderId="9"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97"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9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98" fillId="42" borderId="1" applyNumberFormat="0" applyAlignment="0" applyProtection="0"/>
    <xf numFmtId="0" fontId="36" fillId="9" borderId="2" applyNumberFormat="0" applyAlignment="0" applyProtection="0"/>
    <xf numFmtId="0" fontId="36" fillId="9" borderId="2" applyNumberFormat="0" applyAlignment="0" applyProtection="0"/>
    <xf numFmtId="0" fontId="36" fillId="9" borderId="2" applyNumberFormat="0" applyAlignment="0" applyProtection="0"/>
    <xf numFmtId="0" fontId="36" fillId="9" borderId="2" applyNumberFormat="0" applyAlignment="0" applyProtection="0"/>
    <xf numFmtId="0" fontId="99"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00"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198" fontId="26"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3" fillId="0" borderId="0">
      <alignment/>
      <protection/>
    </xf>
    <xf numFmtId="0" fontId="2" fillId="0" borderId="0">
      <alignment/>
      <protection/>
    </xf>
    <xf numFmtId="0" fontId="1" fillId="45" borderId="15"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01" fillId="37" borderId="17" applyNumberFormat="0" applyAlignment="0" applyProtection="0"/>
    <xf numFmtId="0" fontId="39" fillId="38" borderId="18" applyNumberFormat="0" applyAlignment="0" applyProtection="0"/>
    <xf numFmtId="0" fontId="39" fillId="38" borderId="18" applyNumberFormat="0" applyAlignment="0" applyProtection="0"/>
    <xf numFmtId="0" fontId="39" fillId="38" borderId="18" applyNumberFormat="0" applyAlignment="0" applyProtection="0"/>
    <xf numFmtId="0" fontId="39" fillId="38" borderId="1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9" fontId="26" fillId="0" borderId="19">
      <alignment horizontal="right" vertical="center"/>
      <protection/>
    </xf>
    <xf numFmtId="0" fontId="10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03" fillId="0" borderId="20"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200" fontId="26" fillId="0" borderId="19">
      <alignment horizontal="center"/>
      <protection/>
    </xf>
    <xf numFmtId="201" fontId="26" fillId="0" borderId="0">
      <alignment/>
      <protection/>
    </xf>
    <xf numFmtId="202" fontId="26" fillId="0" borderId="22">
      <alignment/>
      <protection/>
    </xf>
    <xf numFmtId="0" fontId="10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0" fontId="45" fillId="0" borderId="0">
      <alignment/>
      <protection/>
    </xf>
    <xf numFmtId="203" fontId="26" fillId="0" borderId="0" applyFont="0" applyFill="0" applyBorder="0" applyAlignment="0" applyProtection="0"/>
    <xf numFmtId="204" fontId="26" fillId="0" borderId="0" applyFont="0" applyFill="0" applyBorder="0" applyAlignment="0" applyProtection="0"/>
    <xf numFmtId="205" fontId="44" fillId="0" borderId="0" applyFont="0" applyFill="0" applyBorder="0" applyAlignment="0" applyProtection="0"/>
    <xf numFmtId="206" fontId="44" fillId="0" borderId="0" applyFont="0" applyFill="0" applyBorder="0" applyAlignment="0" applyProtection="0"/>
    <xf numFmtId="0" fontId="46" fillId="0" borderId="0">
      <alignment/>
      <protection/>
    </xf>
    <xf numFmtId="0" fontId="47" fillId="0" borderId="0">
      <alignment/>
      <protection/>
    </xf>
    <xf numFmtId="177" fontId="47" fillId="0" borderId="0" applyFont="0" applyFill="0" applyBorder="0" applyAlignment="0" applyProtection="0"/>
    <xf numFmtId="179" fontId="47" fillId="0" borderId="0" applyFont="0" applyFill="0" applyBorder="0" applyAlignment="0" applyProtection="0"/>
    <xf numFmtId="176" fontId="47" fillId="0" borderId="0" applyFont="0" applyFill="0" applyBorder="0" applyAlignment="0" applyProtection="0"/>
    <xf numFmtId="178" fontId="47" fillId="0" borderId="0" applyFont="0" applyFill="0" applyBorder="0" applyAlignment="0" applyProtection="0"/>
  </cellStyleXfs>
  <cellXfs count="299">
    <xf numFmtId="0" fontId="0"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center" vertical="center" wrapText="1"/>
    </xf>
    <xf numFmtId="37" fontId="4" fillId="0" borderId="0" xfId="0" applyNumberFormat="1" applyFont="1" applyAlignment="1">
      <alignment horizontal="right" vertical="center" wrapText="1"/>
    </xf>
    <xf numFmtId="183" fontId="4" fillId="0" borderId="0" xfId="0" applyNumberFormat="1" applyFont="1" applyAlignment="1">
      <alignment horizontal="left" vertical="center" wrapText="1"/>
    </xf>
    <xf numFmtId="3" fontId="8"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4" fontId="4"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83" fontId="2" fillId="0" borderId="0" xfId="0" applyNumberFormat="1" applyFont="1" applyAlignment="1">
      <alignment horizontal="left" vertical="center" wrapText="1"/>
    </xf>
    <xf numFmtId="4" fontId="3" fillId="0" borderId="22" xfId="171" applyNumberFormat="1" applyFont="1" applyFill="1" applyBorder="1" applyAlignment="1">
      <alignment horizontal="center" vertical="center" wrapText="1"/>
    </xf>
    <xf numFmtId="182" fontId="3" fillId="0" borderId="22" xfId="171" applyNumberFormat="1" applyFont="1" applyFill="1" applyBorder="1" applyAlignment="1">
      <alignment horizontal="center" vertical="center" wrapText="1"/>
    </xf>
    <xf numFmtId="0" fontId="3" fillId="0" borderId="22" xfId="171" applyNumberFormat="1" applyFont="1" applyFill="1" applyBorder="1" applyAlignment="1">
      <alignment horizontal="center" vertical="center" wrapText="1"/>
    </xf>
    <xf numFmtId="37" fontId="3" fillId="0" borderId="22" xfId="171" applyNumberFormat="1" applyFont="1" applyFill="1" applyBorder="1" applyAlignment="1">
      <alignment horizontal="center" vertical="center" wrapText="1"/>
    </xf>
    <xf numFmtId="49" fontId="2" fillId="0" borderId="22" xfId="239" applyNumberFormat="1" applyFont="1" applyFill="1" applyBorder="1" applyAlignment="1">
      <alignment horizontal="center" vertical="center" wrapText="1"/>
      <protection/>
    </xf>
    <xf numFmtId="0" fontId="2" fillId="0" borderId="22" xfId="239" applyNumberFormat="1" applyFont="1" applyFill="1" applyBorder="1" applyAlignment="1">
      <alignment horizontal="center" vertical="center" wrapText="1"/>
      <protection/>
    </xf>
    <xf numFmtId="3" fontId="2" fillId="0" borderId="22" xfId="171" applyNumberFormat="1" applyFont="1" applyFill="1" applyBorder="1" applyAlignment="1">
      <alignment horizontal="center" vertical="center" wrapText="1"/>
    </xf>
    <xf numFmtId="182" fontId="2" fillId="0" borderId="22" xfId="171" applyNumberFormat="1" applyFont="1" applyFill="1" applyBorder="1" applyAlignment="1" quotePrefix="1">
      <alignment horizontal="center" vertical="center" wrapText="1"/>
    </xf>
    <xf numFmtId="0" fontId="2" fillId="0" borderId="22" xfId="171" applyNumberFormat="1" applyFont="1" applyFill="1" applyBorder="1" applyAlignment="1">
      <alignment horizontal="center" vertical="center" wrapText="1"/>
    </xf>
    <xf numFmtId="37" fontId="2" fillId="0" borderId="22" xfId="171" applyNumberFormat="1" applyFont="1" applyFill="1" applyBorder="1" applyAlignment="1">
      <alignment horizontal="center" vertical="center" wrapText="1"/>
    </xf>
    <xf numFmtId="0" fontId="105" fillId="0" borderId="0" xfId="0" applyFont="1" applyAlignment="1">
      <alignment horizontal="center" vertical="center" wrapText="1"/>
    </xf>
    <xf numFmtId="3" fontId="106" fillId="0" borderId="0" xfId="0" applyNumberFormat="1" applyFont="1" applyAlignment="1">
      <alignment horizontal="center" vertical="center" wrapText="1"/>
    </xf>
    <xf numFmtId="0" fontId="2" fillId="47" borderId="22" xfId="239" applyFont="1" applyFill="1" applyBorder="1" applyAlignment="1">
      <alignment horizontal="center" vertical="center" wrapText="1"/>
      <protection/>
    </xf>
    <xf numFmtId="0" fontId="5" fillId="47" borderId="0" xfId="0" applyFont="1" applyFill="1" applyAlignment="1">
      <alignment horizontal="center" vertical="center" wrapText="1"/>
    </xf>
    <xf numFmtId="37" fontId="107" fillId="0" borderId="22" xfId="0" applyNumberFormat="1" applyFont="1" applyFill="1" applyBorder="1" applyAlignment="1">
      <alignment horizontal="center" vertical="center" wrapText="1"/>
    </xf>
    <xf numFmtId="0" fontId="3" fillId="0" borderId="0" xfId="242" applyFont="1" applyBorder="1">
      <alignment/>
      <protection/>
    </xf>
    <xf numFmtId="183" fontId="4" fillId="48" borderId="22" xfId="237" applyNumberFormat="1" applyFont="1" applyFill="1" applyBorder="1" applyAlignment="1">
      <alignment horizontal="center" vertical="center" wrapText="1"/>
      <protection/>
    </xf>
    <xf numFmtId="0" fontId="2" fillId="0" borderId="0" xfId="242" applyFont="1" applyBorder="1">
      <alignment/>
      <protection/>
    </xf>
    <xf numFmtId="0" fontId="15" fillId="0" borderId="0" xfId="242" applyFont="1" applyBorder="1">
      <alignment/>
      <protection/>
    </xf>
    <xf numFmtId="0" fontId="2" fillId="0" borderId="0" xfId="242" applyFont="1" applyBorder="1" applyAlignment="1">
      <alignment horizontal="left" vertical="center"/>
      <protection/>
    </xf>
    <xf numFmtId="0" fontId="2" fillId="0" borderId="0" xfId="242" applyFont="1" applyBorder="1" applyAlignment="1">
      <alignment horizontal="center" vertical="center"/>
      <protection/>
    </xf>
    <xf numFmtId="0" fontId="3" fillId="0" borderId="0" xfId="242" applyFont="1" applyBorder="1" applyAlignment="1">
      <alignment horizontal="center" vertical="center"/>
      <protection/>
    </xf>
    <xf numFmtId="0" fontId="2" fillId="0" borderId="0" xfId="242" applyFont="1" applyBorder="1" applyAlignment="1">
      <alignment horizontal="center" vertical="center" wrapText="1"/>
      <protection/>
    </xf>
    <xf numFmtId="0" fontId="17" fillId="0" borderId="0" xfId="242" applyFont="1" applyBorder="1" applyAlignment="1">
      <alignment horizontal="center" vertical="center"/>
      <protection/>
    </xf>
    <xf numFmtId="0" fontId="2" fillId="0" borderId="0" xfId="242" applyFont="1" applyBorder="1" applyAlignment="1">
      <alignment horizontal="right" vertical="center"/>
      <protection/>
    </xf>
    <xf numFmtId="49" fontId="48" fillId="0" borderId="22" xfId="239" applyNumberFormat="1" applyFont="1" applyFill="1" applyBorder="1" applyAlignment="1">
      <alignment horizontal="center" vertical="center" wrapText="1"/>
      <protection/>
    </xf>
    <xf numFmtId="0" fontId="49" fillId="0" borderId="0" xfId="0" applyFont="1" applyAlignment="1">
      <alignment horizontal="center" vertical="center" wrapText="1"/>
    </xf>
    <xf numFmtId="183" fontId="108" fillId="0" borderId="22" xfId="251" applyNumberFormat="1" applyFont="1" applyBorder="1" applyAlignment="1">
      <alignment horizontal="center" vertical="center" wrapText="1"/>
      <protection/>
    </xf>
    <xf numFmtId="0" fontId="16" fillId="47" borderId="22" xfId="239" applyFont="1" applyFill="1" applyBorder="1" applyAlignment="1">
      <alignment horizontal="center" vertical="center" wrapText="1"/>
      <protection/>
    </xf>
    <xf numFmtId="0" fontId="50" fillId="47" borderId="0" xfId="0" applyFont="1" applyFill="1" applyAlignment="1">
      <alignment horizontal="center" vertical="center" wrapText="1"/>
    </xf>
    <xf numFmtId="0" fontId="3" fillId="47" borderId="22" xfId="0" applyFont="1" applyFill="1" applyBorder="1" applyAlignment="1">
      <alignment horizontal="center" vertical="center" wrapText="1"/>
    </xf>
    <xf numFmtId="0" fontId="3" fillId="47" borderId="22" xfId="0" applyFont="1" applyFill="1" applyBorder="1" applyAlignment="1">
      <alignment horizontal="left" vertical="center" wrapText="1"/>
    </xf>
    <xf numFmtId="37" fontId="3" fillId="48" borderId="22" xfId="0" applyNumberFormat="1" applyFont="1" applyFill="1" applyBorder="1" applyAlignment="1">
      <alignment horizontal="right" vertical="center" wrapText="1"/>
    </xf>
    <xf numFmtId="3" fontId="3" fillId="47" borderId="22" xfId="0" applyNumberFormat="1" applyFont="1" applyFill="1" applyBorder="1" applyAlignment="1" applyProtection="1">
      <alignment horizontal="center" vertical="center" wrapText="1"/>
      <protection/>
    </xf>
    <xf numFmtId="3" fontId="105" fillId="47" borderId="0" xfId="0" applyNumberFormat="1" applyFont="1" applyFill="1" applyBorder="1" applyAlignment="1" applyProtection="1">
      <alignment wrapText="1"/>
      <protection/>
    </xf>
    <xf numFmtId="182" fontId="2" fillId="48" borderId="0" xfId="169" applyNumberFormat="1" applyFont="1" applyFill="1" applyAlignment="1">
      <alignment horizontal="left" vertical="center" wrapText="1"/>
    </xf>
    <xf numFmtId="0" fontId="2" fillId="48" borderId="0" xfId="0" applyFont="1" applyFill="1" applyAlignment="1">
      <alignment horizontal="left" vertical="center" wrapText="1"/>
    </xf>
    <xf numFmtId="0" fontId="2" fillId="47" borderId="22" xfId="0" applyFont="1" applyFill="1" applyBorder="1" applyAlignment="1" applyProtection="1">
      <alignment horizontal="center" vertical="center" wrapText="1"/>
      <protection/>
    </xf>
    <xf numFmtId="0" fontId="2" fillId="48" borderId="22" xfId="0" applyFont="1" applyFill="1" applyBorder="1" applyAlignment="1" applyProtection="1">
      <alignment horizontal="left" vertical="center" wrapText="1"/>
      <protection/>
    </xf>
    <xf numFmtId="0" fontId="109" fillId="48" borderId="22" xfId="0" applyFont="1" applyFill="1" applyBorder="1" applyAlignment="1" applyProtection="1">
      <alignment horizontal="center" vertical="center" wrapText="1"/>
      <protection/>
    </xf>
    <xf numFmtId="0" fontId="16" fillId="48" borderId="22" xfId="0" applyFont="1" applyFill="1" applyBorder="1" applyAlignment="1" applyProtection="1">
      <alignment horizontal="center" vertical="center" wrapText="1"/>
      <protection/>
    </xf>
    <xf numFmtId="184" fontId="2" fillId="48" borderId="22" xfId="169" applyNumberFormat="1" applyFont="1" applyFill="1" applyBorder="1" applyAlignment="1" applyProtection="1">
      <alignment vertical="center" wrapText="1"/>
      <protection/>
    </xf>
    <xf numFmtId="3" fontId="2" fillId="48" borderId="22" xfId="0" applyNumberFormat="1" applyFont="1" applyFill="1" applyBorder="1" applyAlignment="1" applyProtection="1">
      <alignment vertical="center" wrapText="1"/>
      <protection/>
    </xf>
    <xf numFmtId="3" fontId="2" fillId="48" borderId="23" xfId="0" applyNumberFormat="1" applyFont="1" applyFill="1" applyBorder="1" applyAlignment="1" applyProtection="1">
      <alignment vertical="center" wrapText="1"/>
      <protection/>
    </xf>
    <xf numFmtId="186" fontId="17" fillId="48" borderId="0" xfId="169" applyNumberFormat="1" applyFont="1" applyFill="1" applyBorder="1" applyAlignment="1" applyProtection="1">
      <alignment horizontal="left" vertical="center"/>
      <protection/>
    </xf>
    <xf numFmtId="0" fontId="2" fillId="48" borderId="0" xfId="0" applyFont="1" applyFill="1" applyBorder="1" applyAlignment="1" applyProtection="1">
      <alignment/>
      <protection/>
    </xf>
    <xf numFmtId="0" fontId="2" fillId="0" borderId="22" xfId="0" applyFont="1" applyBorder="1" applyAlignment="1">
      <alignment horizontal="left" vertical="center" wrapText="1"/>
    </xf>
    <xf numFmtId="0" fontId="16" fillId="0" borderId="22" xfId="0" applyFont="1" applyBorder="1" applyAlignment="1">
      <alignment horizontal="center" vertical="center" wrapText="1"/>
    </xf>
    <xf numFmtId="0" fontId="2" fillId="0" borderId="22" xfId="0" applyFont="1" applyBorder="1" applyAlignment="1">
      <alignment horizontal="center" vertical="center" wrapText="1"/>
    </xf>
    <xf numFmtId="4" fontId="2" fillId="0" borderId="22" xfId="0" applyNumberFormat="1" applyFont="1" applyBorder="1" applyAlignment="1">
      <alignment horizontal="center" vertical="center" wrapText="1"/>
    </xf>
    <xf numFmtId="3" fontId="2" fillId="0" borderId="22" xfId="0" applyNumberFormat="1" applyFont="1" applyBorder="1" applyAlignment="1">
      <alignment horizontal="right" vertical="center" wrapText="1"/>
    </xf>
    <xf numFmtId="9" fontId="106" fillId="0" borderId="22" xfId="0" applyNumberFormat="1" applyFont="1" applyBorder="1" applyAlignment="1">
      <alignment horizontal="center" vertical="center" wrapText="1"/>
    </xf>
    <xf numFmtId="189" fontId="2" fillId="0" borderId="22" xfId="0" applyNumberFormat="1" applyFont="1" applyBorder="1" applyAlignment="1">
      <alignment horizontal="center" vertical="center" wrapText="1"/>
    </xf>
    <xf numFmtId="37" fontId="2" fillId="0" borderId="22" xfId="0" applyNumberFormat="1" applyFont="1" applyBorder="1" applyAlignment="1">
      <alignment horizontal="right" vertical="center" wrapText="1"/>
    </xf>
    <xf numFmtId="37" fontId="3" fillId="0" borderId="0" xfId="0" applyNumberFormat="1" applyFont="1" applyFill="1" applyAlignment="1">
      <alignment horizontal="center" vertical="center" wrapText="1"/>
    </xf>
    <xf numFmtId="182" fontId="2" fillId="49" borderId="0" xfId="169" applyNumberFormat="1" applyFont="1" applyFill="1" applyAlignment="1">
      <alignment horizontal="left" vertical="center" wrapText="1"/>
    </xf>
    <xf numFmtId="0" fontId="2" fillId="0" borderId="22" xfId="0" applyFont="1" applyFill="1" applyBorder="1" applyAlignment="1">
      <alignment horizontal="left" vertical="center" wrapText="1"/>
    </xf>
    <xf numFmtId="0" fontId="16" fillId="0" borderId="22" xfId="0" applyNumberFormat="1" applyFont="1" applyFill="1" applyBorder="1" applyAlignment="1">
      <alignment horizontal="center" vertical="center" wrapText="1"/>
    </xf>
    <xf numFmtId="0" fontId="106" fillId="0" borderId="22" xfId="0" applyFont="1" applyFill="1" applyBorder="1" applyAlignment="1">
      <alignment horizontal="left" vertical="center" wrapText="1"/>
    </xf>
    <xf numFmtId="0" fontId="106" fillId="0" borderId="22" xfId="0" applyFont="1" applyBorder="1" applyAlignment="1">
      <alignment horizontal="center" vertical="center" wrapText="1"/>
    </xf>
    <xf numFmtId="4" fontId="106" fillId="0" borderId="22" xfId="0" applyNumberFormat="1" applyFont="1" applyBorder="1" applyAlignment="1">
      <alignment horizontal="center" vertical="center" wrapText="1"/>
    </xf>
    <xf numFmtId="3" fontId="106" fillId="0" borderId="22" xfId="0" applyNumberFormat="1" applyFont="1" applyBorder="1" applyAlignment="1">
      <alignment horizontal="right" vertical="center" wrapText="1"/>
    </xf>
    <xf numFmtId="189" fontId="106" fillId="0" borderId="22" xfId="0" applyNumberFormat="1" applyFont="1" applyBorder="1" applyAlignment="1">
      <alignment horizontal="center" vertical="center" wrapText="1"/>
    </xf>
    <xf numFmtId="37" fontId="106" fillId="0" borderId="22" xfId="0" applyNumberFormat="1" applyFont="1" applyBorder="1" applyAlignment="1">
      <alignment horizontal="right" vertical="center" wrapText="1"/>
    </xf>
    <xf numFmtId="0" fontId="2" fillId="48" borderId="22" xfId="0" applyFont="1" applyFill="1" applyBorder="1" applyAlignment="1">
      <alignment horizontal="center" vertical="center" wrapText="1"/>
    </xf>
    <xf numFmtId="9" fontId="2" fillId="0" borderId="22" xfId="0" applyNumberFormat="1" applyFont="1" applyBorder="1" applyAlignment="1">
      <alignment horizontal="center" vertical="center" wrapText="1"/>
    </xf>
    <xf numFmtId="0" fontId="15" fillId="0" borderId="22" xfId="0" applyFont="1" applyBorder="1" applyAlignment="1">
      <alignment horizontal="center" vertical="center"/>
    </xf>
    <xf numFmtId="4" fontId="2" fillId="0" borderId="22"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82" fontId="2" fillId="0" borderId="0" xfId="169" applyNumberFormat="1" applyFont="1" applyFill="1" applyAlignment="1">
      <alignment horizontal="left" vertical="center" wrapText="1"/>
    </xf>
    <xf numFmtId="0" fontId="2" fillId="0" borderId="0" xfId="0" applyFont="1" applyFill="1" applyAlignment="1">
      <alignment horizontal="left" vertical="center" wrapText="1"/>
    </xf>
    <xf numFmtId="0" fontId="2" fillId="48" borderId="22" xfId="0" applyFont="1" applyFill="1" applyBorder="1" applyAlignment="1">
      <alignment horizontal="left" vertical="center" wrapText="1"/>
    </xf>
    <xf numFmtId="0" fontId="16" fillId="48" borderId="22" xfId="0" applyFont="1" applyFill="1" applyBorder="1" applyAlignment="1">
      <alignment horizontal="center" vertical="center" wrapText="1"/>
    </xf>
    <xf numFmtId="3" fontId="2" fillId="0" borderId="22" xfId="0" applyNumberFormat="1" applyFont="1" applyFill="1" applyBorder="1" applyAlignment="1">
      <alignment horizontal="right" vertical="center" wrapText="1"/>
    </xf>
    <xf numFmtId="37" fontId="3" fillId="47" borderId="0" xfId="0" applyNumberFormat="1" applyFont="1" applyFill="1" applyBorder="1" applyAlignment="1">
      <alignment horizontal="right" wrapText="1"/>
    </xf>
    <xf numFmtId="183" fontId="2" fillId="0" borderId="0" xfId="0" applyNumberFormat="1" applyFont="1" applyAlignment="1">
      <alignment horizontal="center" vertical="center" wrapText="1"/>
    </xf>
    <xf numFmtId="3" fontId="106" fillId="48" borderId="22" xfId="0" applyNumberFormat="1" applyFont="1" applyFill="1" applyBorder="1" applyAlignment="1" applyProtection="1">
      <alignment horizontal="center" vertical="center" wrapText="1"/>
      <protection/>
    </xf>
    <xf numFmtId="9" fontId="2" fillId="48" borderId="22" xfId="0" applyNumberFormat="1" applyFont="1" applyFill="1" applyBorder="1" applyAlignment="1" applyProtection="1">
      <alignment horizontal="center" vertical="center" wrapText="1"/>
      <protection/>
    </xf>
    <xf numFmtId="181" fontId="2" fillId="48" borderId="22" xfId="169" applyNumberFormat="1" applyFont="1" applyFill="1" applyBorder="1" applyAlignment="1" applyProtection="1">
      <alignment horizontal="center" vertical="center" wrapText="1"/>
      <protection/>
    </xf>
    <xf numFmtId="3" fontId="105" fillId="47" borderId="23" xfId="0" applyNumberFormat="1" applyFont="1" applyFill="1" applyBorder="1" applyAlignment="1" applyProtection="1">
      <alignment wrapText="1"/>
      <protection/>
    </xf>
    <xf numFmtId="0" fontId="2" fillId="47" borderId="22" xfId="0" applyFont="1" applyFill="1" applyBorder="1" applyAlignment="1">
      <alignment horizontal="left" vertical="center" wrapText="1"/>
    </xf>
    <xf numFmtId="0" fontId="16" fillId="47" borderId="22" xfId="0" applyFont="1" applyFill="1" applyBorder="1" applyAlignment="1">
      <alignment horizontal="center" vertical="center" wrapText="1"/>
    </xf>
    <xf numFmtId="0" fontId="2" fillId="47" borderId="22" xfId="0" applyFont="1" applyFill="1" applyBorder="1" applyAlignment="1">
      <alignment horizontal="center" vertical="center" wrapText="1"/>
    </xf>
    <xf numFmtId="4" fontId="2" fillId="47" borderId="22" xfId="0" applyNumberFormat="1" applyFont="1" applyFill="1" applyBorder="1" applyAlignment="1">
      <alignment horizontal="center" vertical="center" wrapText="1"/>
    </xf>
    <xf numFmtId="3" fontId="2" fillId="47" borderId="22" xfId="0" applyNumberFormat="1" applyFont="1" applyFill="1" applyBorder="1" applyAlignment="1" applyProtection="1">
      <alignment vertical="center" wrapText="1"/>
      <protection/>
    </xf>
    <xf numFmtId="183" fontId="2" fillId="47" borderId="0" xfId="0" applyNumberFormat="1" applyFont="1" applyFill="1" applyAlignment="1">
      <alignment horizontal="center" vertical="center" wrapText="1"/>
    </xf>
    <xf numFmtId="4" fontId="3" fillId="47" borderId="0" xfId="0" applyNumberFormat="1" applyFont="1" applyFill="1" applyAlignment="1">
      <alignment horizontal="center" vertical="center" wrapText="1"/>
    </xf>
    <xf numFmtId="182" fontId="2" fillId="47" borderId="0" xfId="169" applyNumberFormat="1" applyFont="1" applyFill="1" applyAlignment="1">
      <alignment horizontal="left" vertical="center" wrapText="1"/>
    </xf>
    <xf numFmtId="0" fontId="2" fillId="47" borderId="0" xfId="0" applyFont="1" applyFill="1" applyAlignment="1">
      <alignment horizontal="left" vertical="center" wrapText="1"/>
    </xf>
    <xf numFmtId="3" fontId="2" fillId="0" borderId="22" xfId="0" applyNumberFormat="1" applyFont="1" applyBorder="1" applyAlignment="1">
      <alignment horizontal="right" vertical="center"/>
    </xf>
    <xf numFmtId="3" fontId="2" fillId="47" borderId="23" xfId="0" applyNumberFormat="1" applyFont="1" applyFill="1" applyBorder="1" applyAlignment="1" applyProtection="1">
      <alignment vertical="center" wrapText="1"/>
      <protection/>
    </xf>
    <xf numFmtId="186" fontId="17" fillId="47" borderId="0" xfId="169" applyNumberFormat="1" applyFont="1" applyFill="1" applyBorder="1" applyAlignment="1" applyProtection="1">
      <alignment horizontal="left" vertical="center"/>
      <protection/>
    </xf>
    <xf numFmtId="0" fontId="2" fillId="47" borderId="0" xfId="0" applyFont="1" applyFill="1" applyBorder="1" applyAlignment="1" applyProtection="1">
      <alignment/>
      <protection/>
    </xf>
    <xf numFmtId="0" fontId="2" fillId="0" borderId="22" xfId="0" applyFont="1" applyBorder="1" applyAlignment="1">
      <alignment horizontal="center" vertical="center"/>
    </xf>
    <xf numFmtId="0" fontId="3" fillId="47" borderId="22" xfId="0" applyFont="1" applyFill="1" applyBorder="1" applyAlignment="1" applyProtection="1">
      <alignment vertical="center" wrapText="1"/>
      <protection/>
    </xf>
    <xf numFmtId="0" fontId="2" fillId="47" borderId="0" xfId="0" applyFont="1" applyFill="1" applyBorder="1" applyAlignment="1">
      <alignment horizontal="left" vertical="center" wrapText="1"/>
    </xf>
    <xf numFmtId="3" fontId="2" fillId="48" borderId="0" xfId="0" applyNumberFormat="1" applyFont="1" applyFill="1" applyBorder="1" applyAlignment="1" applyProtection="1">
      <alignment vertical="center" wrapText="1"/>
      <protection/>
    </xf>
    <xf numFmtId="0" fontId="106" fillId="48" borderId="22" xfId="0" applyFont="1" applyFill="1" applyBorder="1" applyAlignment="1">
      <alignment horizontal="left" vertical="center" wrapText="1"/>
    </xf>
    <xf numFmtId="0" fontId="109" fillId="48" borderId="22" xfId="0" applyFont="1" applyFill="1" applyBorder="1" applyAlignment="1">
      <alignment horizontal="center" vertical="center" wrapText="1"/>
    </xf>
    <xf numFmtId="0" fontId="16" fillId="0" borderId="22" xfId="0" applyFont="1" applyBorder="1" applyAlignment="1">
      <alignment vertical="center" wrapText="1"/>
    </xf>
    <xf numFmtId="0" fontId="2" fillId="0" borderId="22" xfId="0" applyFont="1" applyBorder="1" applyAlignment="1">
      <alignment wrapText="1"/>
    </xf>
    <xf numFmtId="0" fontId="110" fillId="0" borderId="22" xfId="251" applyFont="1" applyBorder="1" applyAlignment="1">
      <alignment horizontal="center" vertical="center" wrapText="1"/>
      <protection/>
    </xf>
    <xf numFmtId="0" fontId="111" fillId="0" borderId="22" xfId="251" applyFont="1" applyBorder="1" applyAlignment="1">
      <alignment vertical="center" wrapText="1"/>
      <protection/>
    </xf>
    <xf numFmtId="0" fontId="108" fillId="0" borderId="0" xfId="242" applyFont="1" applyBorder="1">
      <alignment/>
      <protection/>
    </xf>
    <xf numFmtId="0" fontId="108" fillId="0" borderId="22" xfId="242" applyFont="1" applyBorder="1" applyAlignment="1">
      <alignment horizontal="center" vertical="center" wrapText="1"/>
      <protection/>
    </xf>
    <xf numFmtId="183" fontId="108" fillId="0" borderId="22" xfId="251" applyNumberFormat="1" applyFont="1" applyBorder="1" applyAlignment="1">
      <alignment horizontal="left" vertical="center" wrapText="1"/>
      <protection/>
    </xf>
    <xf numFmtId="0" fontId="3" fillId="50" borderId="22" xfId="0" applyFont="1" applyFill="1" applyBorder="1" applyAlignment="1">
      <alignment horizontal="center" vertical="center" wrapText="1"/>
    </xf>
    <xf numFmtId="0" fontId="3" fillId="50" borderId="22" xfId="0" applyFont="1" applyFill="1" applyBorder="1" applyAlignment="1">
      <alignment horizontal="left" vertical="center" wrapText="1"/>
    </xf>
    <xf numFmtId="37" fontId="3" fillId="50" borderId="22" xfId="0" applyNumberFormat="1" applyFont="1" applyFill="1" applyBorder="1" applyAlignment="1">
      <alignment horizontal="right" vertical="center" wrapText="1"/>
    </xf>
    <xf numFmtId="3" fontId="3" fillId="50" borderId="22" xfId="0" applyNumberFormat="1" applyFont="1" applyFill="1" applyBorder="1" applyAlignment="1" applyProtection="1">
      <alignment horizontal="center" vertical="center" wrapText="1"/>
      <protection/>
    </xf>
    <xf numFmtId="3" fontId="105" fillId="50" borderId="0" xfId="0" applyNumberFormat="1" applyFont="1" applyFill="1" applyBorder="1" applyAlignment="1" applyProtection="1">
      <alignment wrapText="1"/>
      <protection/>
    </xf>
    <xf numFmtId="37" fontId="3" fillId="50" borderId="0" xfId="0" applyNumberFormat="1" applyFont="1" applyFill="1" applyAlignment="1">
      <alignment horizontal="center" vertical="center" wrapText="1"/>
    </xf>
    <xf numFmtId="182" fontId="2" fillId="50" borderId="0" xfId="169" applyNumberFormat="1" applyFont="1" applyFill="1" applyAlignment="1">
      <alignment horizontal="left" vertical="center" wrapText="1"/>
    </xf>
    <xf numFmtId="0" fontId="2" fillId="50" borderId="0" xfId="0" applyFont="1" applyFill="1" applyAlignment="1">
      <alignment horizontal="left" vertical="center" wrapText="1"/>
    </xf>
    <xf numFmtId="0" fontId="15" fillId="47" borderId="0" xfId="248" applyFont="1" applyFill="1" applyAlignment="1">
      <alignment horizontal="center"/>
      <protection/>
    </xf>
    <xf numFmtId="0" fontId="53" fillId="48" borderId="0" xfId="248" applyFont="1" applyFill="1">
      <alignment/>
      <protection/>
    </xf>
    <xf numFmtId="0" fontId="55" fillId="48" borderId="0" xfId="249" applyFont="1" applyFill="1">
      <alignment/>
      <protection/>
    </xf>
    <xf numFmtId="0" fontId="54" fillId="48" borderId="22" xfId="249" applyFont="1" applyFill="1" applyBorder="1" applyAlignment="1" quotePrefix="1">
      <alignment horizontal="center" vertical="center" wrapText="1"/>
      <protection/>
    </xf>
    <xf numFmtId="0" fontId="54" fillId="48" borderId="22" xfId="249" applyFont="1" applyFill="1" applyBorder="1" applyAlignment="1">
      <alignment horizontal="center" vertical="center" wrapText="1"/>
      <protection/>
    </xf>
    <xf numFmtId="0" fontId="2" fillId="48" borderId="22" xfId="248" applyFont="1" applyFill="1" applyBorder="1" applyAlignment="1">
      <alignment horizontal="left" vertical="center" wrapText="1"/>
      <protection/>
    </xf>
    <xf numFmtId="0" fontId="2" fillId="48" borderId="22" xfId="249" applyFont="1" applyFill="1" applyBorder="1" applyAlignment="1">
      <alignment horizontal="center" vertical="center" wrapText="1"/>
      <protection/>
    </xf>
    <xf numFmtId="0" fontId="2" fillId="48" borderId="22" xfId="248" applyFont="1" applyFill="1" applyBorder="1" applyAlignment="1">
      <alignment horizontal="center"/>
      <protection/>
    </xf>
    <xf numFmtId="0" fontId="4" fillId="48" borderId="22" xfId="248" applyFont="1" applyFill="1" applyBorder="1" applyAlignment="1">
      <alignment horizontal="center"/>
      <protection/>
    </xf>
    <xf numFmtId="0" fontId="26" fillId="48" borderId="0" xfId="248" applyFont="1" applyFill="1">
      <alignment/>
      <protection/>
    </xf>
    <xf numFmtId="0" fontId="4" fillId="0" borderId="22" xfId="250" applyFont="1" applyFill="1" applyBorder="1" applyAlignment="1">
      <alignment vertical="center" wrapText="1"/>
      <protection/>
    </xf>
    <xf numFmtId="0" fontId="56" fillId="48" borderId="0" xfId="248" applyFont="1" applyFill="1">
      <alignment/>
      <protection/>
    </xf>
    <xf numFmtId="0" fontId="4" fillId="0" borderId="22" xfId="250" applyFont="1" applyBorder="1" applyAlignment="1">
      <alignment vertical="center" wrapText="1"/>
      <protection/>
    </xf>
    <xf numFmtId="0" fontId="57" fillId="47" borderId="22" xfId="249" applyFont="1" applyFill="1" applyBorder="1" applyAlignment="1">
      <alignment horizontal="center" vertical="center" wrapText="1"/>
      <protection/>
    </xf>
    <xf numFmtId="0" fontId="58" fillId="48" borderId="0" xfId="249" applyFont="1" applyFill="1">
      <alignment/>
      <protection/>
    </xf>
    <xf numFmtId="0" fontId="58" fillId="48" borderId="0" xfId="238" applyFont="1" applyFill="1">
      <alignment/>
      <protection/>
    </xf>
    <xf numFmtId="183" fontId="15" fillId="48" borderId="0" xfId="248" applyNumberFormat="1" applyFont="1" applyFill="1">
      <alignment/>
      <protection/>
    </xf>
    <xf numFmtId="0" fontId="15" fillId="48" borderId="0" xfId="248" applyFont="1" applyFill="1" applyAlignment="1">
      <alignment/>
      <protection/>
    </xf>
    <xf numFmtId="183" fontId="15" fillId="48" borderId="0" xfId="248" applyNumberFormat="1" applyFont="1" applyFill="1" applyAlignment="1">
      <alignment horizontal="center"/>
      <protection/>
    </xf>
    <xf numFmtId="0" fontId="15" fillId="48" borderId="0" xfId="248" applyFont="1" applyFill="1" applyAlignment="1">
      <alignment horizontal="center" vertical="center"/>
      <protection/>
    </xf>
    <xf numFmtId="0" fontId="54" fillId="47" borderId="22" xfId="249" applyFont="1" applyFill="1" applyBorder="1" applyAlignment="1">
      <alignment horizontal="center" vertical="center" wrapText="1"/>
      <protection/>
    </xf>
    <xf numFmtId="0" fontId="2" fillId="47" borderId="22" xfId="249" applyFont="1" applyFill="1" applyBorder="1" applyAlignment="1">
      <alignment horizontal="center" vertical="center" wrapText="1"/>
      <protection/>
    </xf>
    <xf numFmtId="0" fontId="112" fillId="0" borderId="0" xfId="242" applyFont="1" applyBorder="1">
      <alignment/>
      <protection/>
    </xf>
    <xf numFmtId="0" fontId="111" fillId="0" borderId="22" xfId="242" applyFont="1" applyBorder="1" applyAlignment="1">
      <alignment horizontal="center" vertical="center"/>
      <protection/>
    </xf>
    <xf numFmtId="0" fontId="113" fillId="0" borderId="22" xfId="242" applyFont="1" applyBorder="1" applyAlignment="1">
      <alignment horizontal="center" vertical="center" wrapText="1"/>
      <protection/>
    </xf>
    <xf numFmtId="0" fontId="111" fillId="0" borderId="22" xfId="242" applyFont="1" applyFill="1" applyBorder="1" applyAlignment="1">
      <alignment horizontal="center" vertical="center"/>
      <protection/>
    </xf>
    <xf numFmtId="0" fontId="111" fillId="0" borderId="22" xfId="242" applyFont="1" applyFill="1" applyBorder="1" applyAlignment="1">
      <alignment horizontal="center" vertical="center" wrapText="1"/>
      <protection/>
    </xf>
    <xf numFmtId="1" fontId="111" fillId="0" borderId="22" xfId="242" applyNumberFormat="1" applyFont="1" applyFill="1" applyBorder="1" applyAlignment="1">
      <alignment horizontal="center" vertical="center" wrapText="1"/>
      <protection/>
    </xf>
    <xf numFmtId="0" fontId="110" fillId="0" borderId="22" xfId="242" applyFont="1" applyBorder="1" applyAlignment="1">
      <alignment horizontal="center" vertical="center"/>
      <protection/>
    </xf>
    <xf numFmtId="0" fontId="108" fillId="0" borderId="22" xfId="242" applyFont="1" applyFill="1" applyBorder="1" applyAlignment="1">
      <alignment horizontal="center" vertical="center"/>
      <protection/>
    </xf>
    <xf numFmtId="2" fontId="108" fillId="0" borderId="22" xfId="242" applyNumberFormat="1" applyFont="1" applyFill="1" applyBorder="1" applyAlignment="1">
      <alignment horizontal="center" vertical="center"/>
      <protection/>
    </xf>
    <xf numFmtId="0" fontId="108" fillId="0" borderId="22" xfId="242" applyFont="1" applyBorder="1" applyAlignment="1">
      <alignment horizontal="left" vertical="center" wrapText="1"/>
      <protection/>
    </xf>
    <xf numFmtId="183" fontId="108" fillId="48" borderId="22" xfId="237" applyNumberFormat="1" applyFont="1" applyFill="1" applyBorder="1" applyAlignment="1">
      <alignment horizontal="center" vertical="center" wrapText="1"/>
      <protection/>
    </xf>
    <xf numFmtId="0" fontId="110" fillId="48" borderId="22" xfId="253" applyFont="1" applyFill="1" applyBorder="1" applyAlignment="1">
      <alignment horizontal="center" vertical="center"/>
      <protection/>
    </xf>
    <xf numFmtId="2" fontId="108" fillId="0" borderId="22" xfId="242" applyNumberFormat="1" applyFont="1" applyBorder="1" applyAlignment="1">
      <alignment horizontal="center" vertical="center" wrapText="1"/>
      <protection/>
    </xf>
    <xf numFmtId="0" fontId="110" fillId="0" borderId="22" xfId="253" applyFont="1" applyBorder="1" applyAlignment="1">
      <alignment horizontal="center" vertical="center"/>
      <protection/>
    </xf>
    <xf numFmtId="183" fontId="108" fillId="47" borderId="22" xfId="237" applyNumberFormat="1" applyFont="1" applyFill="1" applyBorder="1" applyAlignment="1">
      <alignment horizontal="center" vertical="center" wrapText="1"/>
      <protection/>
    </xf>
    <xf numFmtId="0" fontId="108" fillId="47" borderId="22" xfId="242" applyFont="1" applyFill="1" applyBorder="1" applyAlignment="1">
      <alignment horizontal="center" vertical="center" wrapText="1"/>
      <protection/>
    </xf>
    <xf numFmtId="0" fontId="111" fillId="0" borderId="22" xfId="242" applyFont="1" applyBorder="1" applyAlignment="1">
      <alignment vertical="center" wrapText="1"/>
      <protection/>
    </xf>
    <xf numFmtId="37" fontId="110" fillId="0" borderId="22" xfId="242" applyNumberFormat="1" applyFont="1" applyBorder="1" applyAlignment="1">
      <alignment horizontal="center" vertical="center" wrapText="1"/>
      <protection/>
    </xf>
    <xf numFmtId="0" fontId="108" fillId="48" borderId="22" xfId="249" applyFont="1" applyFill="1" applyBorder="1" applyAlignment="1">
      <alignment horizontal="center" vertical="center" wrapText="1"/>
      <protection/>
    </xf>
    <xf numFmtId="0" fontId="114" fillId="47" borderId="22" xfId="249" applyFont="1" applyFill="1" applyBorder="1" applyAlignment="1">
      <alignment horizontal="center" vertical="center" wrapText="1"/>
      <protection/>
    </xf>
    <xf numFmtId="0" fontId="108" fillId="48" borderId="22" xfId="248" applyFont="1" applyFill="1" applyBorder="1" applyAlignment="1">
      <alignment horizontal="left" vertical="center" wrapText="1"/>
      <protection/>
    </xf>
    <xf numFmtId="0" fontId="115" fillId="48" borderId="0" xfId="238" applyFont="1" applyFill="1">
      <alignment/>
      <protection/>
    </xf>
    <xf numFmtId="0" fontId="108" fillId="47" borderId="22" xfId="248" applyFont="1" applyFill="1" applyBorder="1" applyAlignment="1">
      <alignment horizontal="left" vertical="center" wrapText="1"/>
      <protection/>
    </xf>
    <xf numFmtId="0" fontId="115" fillId="47" borderId="0" xfId="238" applyFont="1" applyFill="1" applyAlignment="1">
      <alignment vertical="center"/>
      <protection/>
    </xf>
    <xf numFmtId="0" fontId="115" fillId="47" borderId="0" xfId="238" applyFont="1" applyFill="1">
      <alignment/>
      <protection/>
    </xf>
    <xf numFmtId="0" fontId="108" fillId="47" borderId="22" xfId="250" applyFont="1" applyFill="1" applyBorder="1" applyAlignment="1">
      <alignment vertical="center" wrapText="1"/>
      <protection/>
    </xf>
    <xf numFmtId="0" fontId="108" fillId="48" borderId="22" xfId="250" applyFont="1" applyFill="1" applyBorder="1" applyAlignment="1">
      <alignment vertical="center" wrapText="1"/>
      <protection/>
    </xf>
    <xf numFmtId="0" fontId="116" fillId="48" borderId="24" xfId="238" applyFont="1" applyFill="1" applyBorder="1" applyAlignment="1">
      <alignment horizontal="center"/>
      <protection/>
    </xf>
    <xf numFmtId="183" fontId="116" fillId="48" borderId="24" xfId="238" applyNumberFormat="1" applyFont="1" applyFill="1" applyBorder="1" applyAlignment="1">
      <alignment horizontal="center"/>
      <protection/>
    </xf>
    <xf numFmtId="0" fontId="117" fillId="48" borderId="0" xfId="238" applyFont="1" applyFill="1">
      <alignment/>
      <protection/>
    </xf>
    <xf numFmtId="0" fontId="110" fillId="47" borderId="0" xfId="248" applyFont="1" applyFill="1" applyAlignment="1">
      <alignment horizontal="center"/>
      <protection/>
    </xf>
    <xf numFmtId="183" fontId="110" fillId="48" borderId="0" xfId="248" applyNumberFormat="1" applyFont="1" applyFill="1">
      <alignment/>
      <protection/>
    </xf>
    <xf numFmtId="0" fontId="110" fillId="48" borderId="0" xfId="248" applyFont="1" applyFill="1" applyAlignment="1">
      <alignment/>
      <protection/>
    </xf>
    <xf numFmtId="183" fontId="110" fillId="48" borderId="0" xfId="248" applyNumberFormat="1" applyFont="1" applyFill="1" applyAlignment="1">
      <alignment horizontal="center"/>
      <protection/>
    </xf>
    <xf numFmtId="0" fontId="110" fillId="48" borderId="0" xfId="248" applyFont="1" applyFill="1" applyAlignment="1">
      <alignment horizontal="center" vertical="center"/>
      <protection/>
    </xf>
    <xf numFmtId="0" fontId="118" fillId="48" borderId="0" xfId="248" applyFont="1" applyFill="1">
      <alignment/>
      <protection/>
    </xf>
    <xf numFmtId="0" fontId="108" fillId="0" borderId="22" xfId="242" applyFont="1" applyBorder="1" applyAlignment="1">
      <alignment horizontal="center" vertical="center" wrapText="1"/>
      <protection/>
    </xf>
    <xf numFmtId="183" fontId="108" fillId="0" borderId="22" xfId="242" applyNumberFormat="1" applyFont="1" applyFill="1" applyBorder="1" applyAlignment="1">
      <alignment horizontal="center" vertical="center"/>
      <protection/>
    </xf>
    <xf numFmtId="0" fontId="111" fillId="50" borderId="22" xfId="242" applyFont="1" applyFill="1" applyBorder="1" applyAlignment="1">
      <alignment horizontal="center" vertical="center"/>
      <protection/>
    </xf>
    <xf numFmtId="0" fontId="110" fillId="50" borderId="22" xfId="251" applyFont="1" applyFill="1" applyBorder="1" applyAlignment="1">
      <alignment horizontal="center" vertical="center" wrapText="1"/>
      <protection/>
    </xf>
    <xf numFmtId="0" fontId="111" fillId="50" borderId="22" xfId="251" applyFont="1" applyFill="1" applyBorder="1" applyAlignment="1">
      <alignment vertical="center" wrapText="1"/>
      <protection/>
    </xf>
    <xf numFmtId="0" fontId="108" fillId="50" borderId="22" xfId="242" applyFont="1" applyFill="1" applyBorder="1" applyAlignment="1">
      <alignment horizontal="center" vertical="center" wrapText="1"/>
      <protection/>
    </xf>
    <xf numFmtId="183" fontId="108" fillId="50" borderId="22" xfId="251" applyNumberFormat="1" applyFont="1" applyFill="1" applyBorder="1" applyAlignment="1">
      <alignment horizontal="center" vertical="center" wrapText="1"/>
      <protection/>
    </xf>
    <xf numFmtId="0" fontId="108" fillId="50" borderId="22" xfId="242" applyFont="1" applyFill="1" applyBorder="1" applyAlignment="1">
      <alignment horizontal="left" vertical="center" wrapText="1"/>
      <protection/>
    </xf>
    <xf numFmtId="0" fontId="112" fillId="50" borderId="0" xfId="242" applyFont="1" applyFill="1" applyBorder="1">
      <alignment/>
      <protection/>
    </xf>
    <xf numFmtId="0" fontId="106" fillId="0" borderId="22" xfId="242" applyFont="1" applyBorder="1" applyAlignment="1">
      <alignment horizontal="center" vertical="center" wrapText="1"/>
      <protection/>
    </xf>
    <xf numFmtId="0" fontId="2" fillId="0" borderId="22" xfId="242" applyFont="1" applyBorder="1" applyAlignment="1">
      <alignment horizontal="center" vertical="center" wrapText="1"/>
      <protection/>
    </xf>
    <xf numFmtId="0" fontId="110" fillId="50" borderId="22" xfId="253" applyFont="1" applyFill="1" applyBorder="1" applyAlignment="1">
      <alignment horizontal="center" vertical="center"/>
      <protection/>
    </xf>
    <xf numFmtId="2" fontId="108" fillId="50" borderId="22" xfId="242" applyNumberFormat="1" applyFont="1" applyFill="1" applyBorder="1" applyAlignment="1">
      <alignment horizontal="center" vertical="center" wrapText="1"/>
      <protection/>
    </xf>
    <xf numFmtId="0" fontId="112" fillId="50" borderId="0" xfId="242" applyFont="1" applyFill="1" applyBorder="1" applyAlignment="1">
      <alignment horizontal="left" vertical="center" wrapText="1"/>
      <protection/>
    </xf>
    <xf numFmtId="0" fontId="108" fillId="50" borderId="22" xfId="242" applyFont="1" applyFill="1" applyBorder="1" applyAlignment="1">
      <alignment horizontal="center" vertical="center" wrapText="1"/>
      <protection/>
    </xf>
    <xf numFmtId="0" fontId="111" fillId="50" borderId="22" xfId="251" applyFont="1" applyFill="1" applyBorder="1" applyAlignment="1">
      <alignment horizontal="center" vertical="center" wrapText="1"/>
      <protection/>
    </xf>
    <xf numFmtId="183" fontId="108" fillId="50" borderId="19" xfId="237" applyNumberFormat="1" applyFont="1" applyFill="1" applyBorder="1" applyAlignment="1">
      <alignment vertical="center" wrapText="1"/>
      <protection/>
    </xf>
    <xf numFmtId="183" fontId="108" fillId="50" borderId="22" xfId="237" applyNumberFormat="1" applyFont="1" applyFill="1" applyBorder="1" applyAlignment="1">
      <alignment horizontal="center" vertical="center" wrapText="1"/>
      <protection/>
    </xf>
    <xf numFmtId="183" fontId="108" fillId="50" borderId="22" xfId="251" applyNumberFormat="1" applyFont="1" applyFill="1" applyBorder="1" applyAlignment="1">
      <alignment horizontal="left" vertical="center" wrapText="1"/>
      <protection/>
    </xf>
    <xf numFmtId="0" fontId="106" fillId="50" borderId="0" xfId="242" applyFont="1" applyFill="1" applyBorder="1" applyAlignment="1">
      <alignment horizontal="center" vertical="center" wrapText="1"/>
      <protection/>
    </xf>
    <xf numFmtId="0" fontId="112" fillId="50" borderId="0" xfId="242" applyFont="1" applyFill="1" applyBorder="1" applyAlignment="1">
      <alignment horizontal="center" vertical="center" wrapText="1"/>
      <protection/>
    </xf>
    <xf numFmtId="183" fontId="106" fillId="50" borderId="22" xfId="251" applyNumberFormat="1" applyFont="1" applyFill="1" applyBorder="1" applyAlignment="1">
      <alignment horizontal="center" vertical="center" wrapText="1"/>
      <protection/>
    </xf>
    <xf numFmtId="0" fontId="106" fillId="0" borderId="0" xfId="242" applyFont="1" applyBorder="1" applyAlignment="1">
      <alignment horizontal="center" vertical="center" wrapText="1"/>
      <protection/>
    </xf>
    <xf numFmtId="0" fontId="105" fillId="0" borderId="0" xfId="242" applyFont="1" applyBorder="1" applyAlignment="1">
      <alignment horizontal="center" vertical="center" wrapText="1"/>
      <protection/>
    </xf>
    <xf numFmtId="0" fontId="111" fillId="51" borderId="22" xfId="242" applyFont="1" applyFill="1" applyBorder="1" applyAlignment="1">
      <alignment horizontal="center" vertical="center"/>
      <protection/>
    </xf>
    <xf numFmtId="0" fontId="110" fillId="51" borderId="22" xfId="251" applyFont="1" applyFill="1" applyBorder="1" applyAlignment="1">
      <alignment horizontal="center" vertical="center" wrapText="1"/>
      <protection/>
    </xf>
    <xf numFmtId="0" fontId="111" fillId="51" borderId="22" xfId="251" applyFont="1" applyFill="1" applyBorder="1" applyAlignment="1">
      <alignment vertical="center" wrapText="1"/>
      <protection/>
    </xf>
    <xf numFmtId="2" fontId="108" fillId="51" borderId="22" xfId="242" applyNumberFormat="1" applyFont="1" applyFill="1" applyBorder="1" applyAlignment="1">
      <alignment horizontal="center" vertical="center" wrapText="1"/>
      <protection/>
    </xf>
    <xf numFmtId="183" fontId="108" fillId="51" borderId="22" xfId="251" applyNumberFormat="1" applyFont="1" applyFill="1" applyBorder="1" applyAlignment="1">
      <alignment horizontal="center" vertical="center" wrapText="1"/>
      <protection/>
    </xf>
    <xf numFmtId="0" fontId="108" fillId="51" borderId="22" xfId="242" applyFont="1" applyFill="1" applyBorder="1" applyAlignment="1">
      <alignment horizontal="left" vertical="center" wrapText="1"/>
      <protection/>
    </xf>
    <xf numFmtId="0" fontId="108" fillId="51" borderId="22" xfId="242" applyFont="1" applyFill="1" applyBorder="1" applyAlignment="1">
      <alignment horizontal="center" vertical="center" wrapText="1"/>
      <protection/>
    </xf>
    <xf numFmtId="0" fontId="112" fillId="51" borderId="0" xfId="242" applyFont="1" applyFill="1" applyBorder="1">
      <alignment/>
      <protection/>
    </xf>
    <xf numFmtId="0" fontId="111" fillId="50" borderId="22" xfId="251" applyFont="1" applyFill="1" applyBorder="1" applyAlignment="1">
      <alignment vertical="center" wrapText="1"/>
      <protection/>
    </xf>
    <xf numFmtId="0" fontId="108" fillId="51" borderId="22" xfId="242" applyFont="1" applyFill="1" applyBorder="1" applyAlignment="1">
      <alignment horizontal="left" vertical="center" wrapText="1"/>
      <protection/>
    </xf>
    <xf numFmtId="0" fontId="112" fillId="50" borderId="0" xfId="242" applyFont="1" applyFill="1" applyBorder="1" applyAlignment="1">
      <alignment horizontal="center" vertical="center"/>
      <protection/>
    </xf>
    <xf numFmtId="0" fontId="110" fillId="51" borderId="22" xfId="253" applyFont="1" applyFill="1" applyBorder="1" applyAlignment="1">
      <alignment horizontal="center" vertical="center"/>
      <protection/>
    </xf>
    <xf numFmtId="0" fontId="108" fillId="50" borderId="22" xfId="242" applyFont="1" applyFill="1" applyBorder="1" applyAlignment="1">
      <alignment horizontal="center" vertical="center" wrapText="1"/>
      <protection/>
    </xf>
    <xf numFmtId="0" fontId="108" fillId="50" borderId="22" xfId="242" applyFont="1" applyFill="1" applyBorder="1" applyAlignment="1">
      <alignment horizontal="left" vertical="center" wrapText="1"/>
      <protection/>
    </xf>
    <xf numFmtId="3" fontId="111" fillId="0" borderId="22" xfId="24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ont="1" applyFill="1" applyAlignment="1">
      <alignment/>
    </xf>
    <xf numFmtId="0" fontId="0" fillId="0" borderId="0" xfId="0" applyFill="1" applyAlignment="1">
      <alignment vertical="center"/>
    </xf>
    <xf numFmtId="3" fontId="107" fillId="0" borderId="0" xfId="0" applyNumberFormat="1" applyFont="1" applyFill="1" applyBorder="1" applyAlignment="1" applyProtection="1">
      <alignment wrapText="1"/>
      <protection/>
    </xf>
    <xf numFmtId="0" fontId="119" fillId="0" borderId="0" xfId="0" applyFont="1" applyFill="1" applyAlignment="1">
      <alignment horizontal="left" vertical="center" wrapText="1"/>
    </xf>
    <xf numFmtId="182" fontId="107" fillId="0" borderId="0" xfId="169" applyNumberFormat="1" applyFont="1" applyFill="1" applyAlignment="1">
      <alignment horizontal="left" vertical="center" wrapText="1"/>
    </xf>
    <xf numFmtId="3" fontId="107" fillId="0" borderId="22" xfId="0" applyNumberFormat="1" applyFont="1" applyFill="1" applyBorder="1" applyAlignment="1" applyProtection="1">
      <alignment horizontal="center" vertical="center" wrapText="1"/>
      <protection/>
    </xf>
    <xf numFmtId="183" fontId="119" fillId="0" borderId="0" xfId="0" applyNumberFormat="1" applyFont="1" applyFill="1" applyAlignment="1">
      <alignment horizontal="left" vertical="center" wrapText="1"/>
    </xf>
    <xf numFmtId="0" fontId="3" fillId="0" borderId="22" xfId="240" applyFont="1" applyFill="1" applyBorder="1" applyAlignment="1" applyProtection="1">
      <alignment horizontal="center" vertical="center" wrapText="1"/>
      <protection/>
    </xf>
    <xf numFmtId="0" fontId="61" fillId="0" borderId="22" xfId="240" applyFont="1" applyFill="1" applyBorder="1" applyAlignment="1" applyProtection="1">
      <alignment horizontal="center" vertical="center" wrapText="1"/>
      <protection/>
    </xf>
    <xf numFmtId="0" fontId="3" fillId="0" borderId="22" xfId="0" applyFont="1" applyFill="1" applyBorder="1" applyAlignment="1">
      <alignment horizontal="left" vertical="center" wrapText="1"/>
    </xf>
    <xf numFmtId="3" fontId="3" fillId="0" borderId="22" xfId="240" applyNumberFormat="1" applyFont="1" applyFill="1" applyBorder="1" applyAlignment="1" applyProtection="1">
      <alignment horizontal="right" vertical="center" wrapText="1"/>
      <protection/>
    </xf>
    <xf numFmtId="0" fontId="2" fillId="0" borderId="22" xfId="252" applyFont="1" applyFill="1" applyBorder="1" applyAlignment="1">
      <alignment vertical="center" wrapText="1"/>
      <protection/>
    </xf>
    <xf numFmtId="0" fontId="16" fillId="0" borderId="22" xfId="252" applyFont="1" applyFill="1" applyBorder="1" applyAlignment="1">
      <alignment vertical="center" wrapText="1"/>
      <protection/>
    </xf>
    <xf numFmtId="0" fontId="2" fillId="0" borderId="22" xfId="240" applyFont="1" applyFill="1" applyBorder="1" applyAlignment="1">
      <alignment horizontal="left" vertical="center" wrapText="1"/>
      <protection/>
    </xf>
    <xf numFmtId="0" fontId="48" fillId="0" borderId="22" xfId="240" applyFont="1" applyFill="1" applyBorder="1" applyAlignment="1">
      <alignment horizontal="center" vertical="center" wrapText="1"/>
      <protection/>
    </xf>
    <xf numFmtId="0" fontId="16" fillId="0" borderId="22" xfId="240" applyFont="1" applyFill="1" applyBorder="1" applyAlignment="1">
      <alignment horizontal="center" vertical="center" wrapText="1"/>
      <protection/>
    </xf>
    <xf numFmtId="190" fontId="2" fillId="0" borderId="22" xfId="240" applyNumberFormat="1" applyFont="1" applyFill="1" applyBorder="1" applyAlignment="1">
      <alignment horizontal="center" vertical="center" wrapText="1"/>
      <protection/>
    </xf>
    <xf numFmtId="3" fontId="2" fillId="0" borderId="22" xfId="240" applyNumberFormat="1" applyFont="1" applyFill="1" applyBorder="1" applyAlignment="1">
      <alignment horizontal="center" vertical="center" wrapText="1"/>
      <protection/>
    </xf>
    <xf numFmtId="9" fontId="2" fillId="0" borderId="22" xfId="240" applyNumberFormat="1" applyFont="1" applyFill="1" applyBorder="1" applyAlignment="1">
      <alignment horizontal="center" vertical="center" wrapText="1"/>
      <protection/>
    </xf>
    <xf numFmtId="0" fontId="2" fillId="0" borderId="22" xfId="240" applyFont="1" applyFill="1" applyBorder="1" applyAlignment="1">
      <alignment horizontal="center" vertical="center" wrapText="1"/>
      <protection/>
    </xf>
    <xf numFmtId="187" fontId="2" fillId="0" borderId="22" xfId="240" applyNumberFormat="1" applyFont="1" applyFill="1" applyBorder="1" applyAlignment="1">
      <alignment horizontal="right" vertical="center" wrapText="1"/>
      <protection/>
    </xf>
    <xf numFmtId="0" fontId="16" fillId="0" borderId="22" xfId="240" applyFont="1" applyFill="1" applyBorder="1" applyAlignment="1">
      <alignment/>
      <protection/>
    </xf>
    <xf numFmtId="0" fontId="48" fillId="0" borderId="22" xfId="0" applyFont="1" applyFill="1" applyBorder="1" applyAlignment="1">
      <alignment horizontal="center" vertical="center" wrapText="1"/>
    </xf>
    <xf numFmtId="0" fontId="2" fillId="0" borderId="22" xfId="252" applyFont="1" applyFill="1" applyBorder="1" applyAlignment="1">
      <alignment horizontal="center" vertical="center" wrapText="1"/>
      <protection/>
    </xf>
    <xf numFmtId="3" fontId="2" fillId="0" borderId="22" xfId="0" applyNumberFormat="1" applyFont="1" applyFill="1" applyBorder="1" applyAlignment="1">
      <alignment horizontal="center" vertical="center"/>
    </xf>
    <xf numFmtId="37" fontId="2" fillId="0" borderId="22" xfId="240" applyNumberFormat="1" applyFont="1" applyFill="1" applyBorder="1" applyAlignment="1">
      <alignment horizontal="right" vertical="center" wrapText="1"/>
      <protection/>
    </xf>
    <xf numFmtId="0" fontId="3" fillId="0" borderId="22" xfId="240" applyFont="1" applyFill="1" applyBorder="1" applyAlignment="1">
      <alignment horizontal="center" vertical="center" wrapText="1"/>
      <protection/>
    </xf>
    <xf numFmtId="0" fontId="61" fillId="0" borderId="22" xfId="240" applyFont="1" applyFill="1" applyBorder="1" applyAlignment="1">
      <alignment horizontal="center" vertical="center" wrapText="1"/>
      <protection/>
    </xf>
    <xf numFmtId="4" fontId="2" fillId="0" borderId="22" xfId="240" applyNumberFormat="1" applyFont="1" applyFill="1" applyBorder="1" applyAlignment="1">
      <alignment horizontal="center" vertical="center" wrapText="1"/>
      <protection/>
    </xf>
    <xf numFmtId="3" fontId="2" fillId="0" borderId="22" xfId="240" applyNumberFormat="1" applyFont="1" applyFill="1" applyBorder="1" applyAlignment="1" applyProtection="1">
      <alignment horizontal="right" vertical="center" wrapText="1"/>
      <protection/>
    </xf>
    <xf numFmtId="3" fontId="2" fillId="0" borderId="22" xfId="240" applyNumberFormat="1" applyFont="1" applyFill="1" applyBorder="1" applyAlignment="1">
      <alignment horizontal="center" vertical="center"/>
      <protection/>
    </xf>
    <xf numFmtId="0" fontId="3" fillId="0" borderId="22" xfId="0" applyFont="1" applyFill="1" applyBorder="1" applyAlignment="1">
      <alignment horizontal="center" vertical="center" wrapText="1"/>
    </xf>
    <xf numFmtId="0" fontId="61" fillId="0" borderId="22" xfId="0" applyFont="1" applyFill="1" applyBorder="1" applyAlignment="1">
      <alignment horizontal="center" vertical="center" wrapText="1"/>
    </xf>
    <xf numFmtId="37" fontId="3" fillId="0" borderId="22" xfId="0" applyNumberFormat="1" applyFont="1" applyFill="1" applyBorder="1" applyAlignment="1">
      <alignment horizontal="right" vertical="center" wrapText="1"/>
    </xf>
    <xf numFmtId="0" fontId="11" fillId="48" borderId="22" xfId="0" applyFont="1" applyFill="1" applyBorder="1" applyAlignment="1">
      <alignment horizontal="center" vertical="center" wrapText="1"/>
    </xf>
    <xf numFmtId="49" fontId="3" fillId="0" borderId="22" xfId="239" applyNumberFormat="1" applyFont="1" applyFill="1" applyBorder="1" applyAlignment="1">
      <alignment horizontal="center" vertical="center" wrapText="1"/>
      <protection/>
    </xf>
    <xf numFmtId="0" fontId="3" fillId="0" borderId="22" xfId="239" applyNumberFormat="1" applyFont="1" applyFill="1" applyBorder="1" applyAlignment="1">
      <alignment horizontal="center" vertical="center" wrapText="1"/>
      <protection/>
    </xf>
    <xf numFmtId="4" fontId="3" fillId="0" borderId="22" xfId="171" applyNumberFormat="1" applyFont="1" applyFill="1" applyBorder="1" applyAlignment="1">
      <alignment horizontal="center" vertical="center" wrapText="1"/>
    </xf>
    <xf numFmtId="0" fontId="3" fillId="47" borderId="22" xfId="239" applyFont="1" applyFill="1" applyBorder="1" applyAlignment="1">
      <alignment horizontal="center" vertical="center" wrapText="1"/>
      <protection/>
    </xf>
    <xf numFmtId="0" fontId="3" fillId="50" borderId="22" xfId="0" applyFont="1" applyFill="1" applyBorder="1" applyAlignment="1">
      <alignment horizontal="left" vertical="center" wrapText="1"/>
    </xf>
    <xf numFmtId="9" fontId="2" fillId="47" borderId="19" xfId="0" applyNumberFormat="1" applyFont="1" applyFill="1" applyBorder="1" applyAlignment="1" applyProtection="1">
      <alignment horizontal="center" vertical="center" wrapText="1"/>
      <protection/>
    </xf>
    <xf numFmtId="9" fontId="2" fillId="47" borderId="6" xfId="0" applyNumberFormat="1" applyFont="1" applyFill="1" applyBorder="1" applyAlignment="1" applyProtection="1">
      <alignment horizontal="center" vertical="center" wrapText="1"/>
      <protection/>
    </xf>
    <xf numFmtId="9" fontId="2" fillId="47" borderId="25" xfId="0" applyNumberFormat="1" applyFont="1" applyFill="1" applyBorder="1" applyAlignment="1" applyProtection="1">
      <alignment horizontal="center" vertical="center" wrapText="1"/>
      <protection/>
    </xf>
    <xf numFmtId="0" fontId="17"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12" fillId="0" borderId="22" xfId="239" applyFont="1" applyFill="1" applyBorder="1" applyAlignment="1">
      <alignment horizontal="center" vertical="center" wrapText="1"/>
      <protection/>
    </xf>
    <xf numFmtId="0" fontId="3" fillId="47" borderId="22" xfId="0" applyFont="1" applyFill="1" applyBorder="1" applyAlignment="1">
      <alignment horizontal="left" vertical="center" wrapText="1"/>
    </xf>
    <xf numFmtId="0" fontId="2" fillId="47" borderId="22" xfId="0" applyFont="1" applyFill="1" applyBorder="1" applyAlignment="1" applyProtection="1">
      <alignment horizontal="left" vertical="center" wrapText="1"/>
      <protection/>
    </xf>
    <xf numFmtId="183" fontId="108" fillId="50" borderId="22" xfId="237" applyNumberFormat="1" applyFont="1" applyFill="1" applyBorder="1" applyAlignment="1">
      <alignment horizontal="center" vertical="center" wrapText="1"/>
      <protection/>
    </xf>
    <xf numFmtId="183" fontId="108" fillId="0" borderId="22" xfId="251" applyNumberFormat="1" applyFont="1" applyBorder="1" applyAlignment="1">
      <alignment horizontal="left" vertical="center" wrapText="1"/>
      <protection/>
    </xf>
    <xf numFmtId="0" fontId="108" fillId="51" borderId="22" xfId="242" applyFont="1" applyFill="1" applyBorder="1" applyAlignment="1">
      <alignment horizontal="left" vertical="center" wrapText="1"/>
      <protection/>
    </xf>
    <xf numFmtId="183" fontId="108" fillId="0" borderId="19" xfId="251" applyNumberFormat="1" applyFont="1" applyBorder="1" applyAlignment="1">
      <alignment horizontal="center" vertical="center" wrapText="1"/>
      <protection/>
    </xf>
    <xf numFmtId="183" fontId="108" fillId="0" borderId="25" xfId="251" applyNumberFormat="1" applyFont="1" applyBorder="1" applyAlignment="1">
      <alignment horizontal="center" vertical="center" wrapText="1"/>
      <protection/>
    </xf>
    <xf numFmtId="0" fontId="108" fillId="50" borderId="22" xfId="242" applyFont="1" applyFill="1" applyBorder="1" applyAlignment="1">
      <alignment horizontal="left" vertical="center" wrapText="1"/>
      <protection/>
    </xf>
    <xf numFmtId="0" fontId="111" fillId="0" borderId="22" xfId="242" applyFont="1" applyBorder="1" applyAlignment="1">
      <alignment horizontal="center" vertical="center" wrapText="1"/>
      <protection/>
    </xf>
    <xf numFmtId="0" fontId="108" fillId="0" borderId="19" xfId="242" applyFont="1" applyBorder="1" applyAlignment="1">
      <alignment horizontal="center" vertical="center" wrapText="1"/>
      <protection/>
    </xf>
    <xf numFmtId="0" fontId="108" fillId="0" borderId="6" xfId="242" applyFont="1" applyBorder="1" applyAlignment="1">
      <alignment horizontal="center" vertical="center" wrapText="1"/>
      <protection/>
    </xf>
    <xf numFmtId="0" fontId="108" fillId="0" borderId="25" xfId="242" applyFont="1" applyBorder="1" applyAlignment="1">
      <alignment horizontal="center" vertical="center" wrapText="1"/>
      <protection/>
    </xf>
    <xf numFmtId="0" fontId="108" fillId="50" borderId="19" xfId="242" applyFont="1" applyFill="1" applyBorder="1" applyAlignment="1">
      <alignment horizontal="center"/>
      <protection/>
    </xf>
    <xf numFmtId="0" fontId="108" fillId="50" borderId="6" xfId="242" applyFont="1" applyFill="1" applyBorder="1" applyAlignment="1">
      <alignment horizontal="center"/>
      <protection/>
    </xf>
    <xf numFmtId="0" fontId="108" fillId="50" borderId="25" xfId="242" applyFont="1" applyFill="1" applyBorder="1" applyAlignment="1">
      <alignment horizontal="center"/>
      <protection/>
    </xf>
    <xf numFmtId="0" fontId="111" fillId="0" borderId="26" xfId="242" applyFont="1" applyBorder="1" applyAlignment="1">
      <alignment horizontal="center" vertical="center" wrapText="1"/>
      <protection/>
    </xf>
    <xf numFmtId="0" fontId="111" fillId="0" borderId="27" xfId="242" applyFont="1" applyBorder="1" applyAlignment="1">
      <alignment horizontal="center" vertical="center" wrapText="1"/>
      <protection/>
    </xf>
    <xf numFmtId="0" fontId="111" fillId="0" borderId="28" xfId="242" applyFont="1" applyBorder="1" applyAlignment="1">
      <alignment horizontal="center" vertical="center" wrapText="1"/>
      <protection/>
    </xf>
    <xf numFmtId="0" fontId="120" fillId="0" borderId="29" xfId="242" applyFont="1" applyBorder="1" applyAlignment="1">
      <alignment horizontal="center" vertical="center" wrapText="1"/>
      <protection/>
    </xf>
    <xf numFmtId="0" fontId="120" fillId="0" borderId="30" xfId="242" applyFont="1" applyBorder="1" applyAlignment="1">
      <alignment horizontal="center" vertical="center" wrapText="1"/>
      <protection/>
    </xf>
    <xf numFmtId="0" fontId="120" fillId="0" borderId="31" xfId="242" applyFont="1" applyBorder="1" applyAlignment="1">
      <alignment horizontal="center" vertical="center" wrapText="1"/>
      <protection/>
    </xf>
    <xf numFmtId="0" fontId="108" fillId="50" borderId="22" xfId="242" applyFont="1" applyFill="1" applyBorder="1" applyAlignment="1">
      <alignment horizontal="center" vertical="center" wrapText="1"/>
      <protection/>
    </xf>
    <xf numFmtId="0" fontId="116" fillId="48" borderId="32" xfId="238" applyFont="1" applyFill="1" applyBorder="1" applyAlignment="1">
      <alignment horizontal="center"/>
      <protection/>
    </xf>
    <xf numFmtId="0" fontId="116" fillId="48" borderId="33" xfId="238" applyFont="1" applyFill="1" applyBorder="1" applyAlignment="1">
      <alignment horizontal="center"/>
      <protection/>
    </xf>
    <xf numFmtId="0" fontId="116" fillId="48" borderId="34" xfId="238" applyFont="1" applyFill="1" applyBorder="1" applyAlignment="1">
      <alignment horizontal="center"/>
      <protection/>
    </xf>
    <xf numFmtId="0" fontId="54" fillId="48" borderId="22" xfId="249" applyFont="1" applyFill="1" applyBorder="1" applyAlignment="1" quotePrefix="1">
      <alignment horizontal="center" vertical="center" wrapText="1"/>
      <protection/>
    </xf>
    <xf numFmtId="0" fontId="54" fillId="47" borderId="22" xfId="249" applyFont="1" applyFill="1" applyBorder="1" applyAlignment="1">
      <alignment horizontal="center" vertical="center" wrapText="1"/>
      <protection/>
    </xf>
  </cellXfs>
  <cellStyles count="294">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20% - Accent1" xfId="23"/>
    <cellStyle name="20% - Accent1 2" xfId="24"/>
    <cellStyle name="20% - Accent1 3" xfId="25"/>
    <cellStyle name="20% - Accent1 4" xfId="26"/>
    <cellStyle name="20% - Accent1 5" xfId="27"/>
    <cellStyle name="20% - Accent2" xfId="28"/>
    <cellStyle name="20% - Accent2 2" xfId="29"/>
    <cellStyle name="20% - Accent2 3" xfId="30"/>
    <cellStyle name="20% - Accent2 4" xfId="31"/>
    <cellStyle name="20% - Accent2 5" xfId="32"/>
    <cellStyle name="20% - Accent3" xfId="33"/>
    <cellStyle name="20% - Accent3 2" xfId="34"/>
    <cellStyle name="20% - Accent3 3" xfId="35"/>
    <cellStyle name="20% - Accent3 4" xfId="36"/>
    <cellStyle name="20% - Accent3 5" xfId="37"/>
    <cellStyle name="20% - Accent4" xfId="38"/>
    <cellStyle name="20% - Accent4 2" xfId="39"/>
    <cellStyle name="20% - Accent4 3" xfId="40"/>
    <cellStyle name="20% - Accent4 4" xfId="41"/>
    <cellStyle name="20% - Accent4 5" xfId="42"/>
    <cellStyle name="20% - Accent5" xfId="43"/>
    <cellStyle name="20% - Accent5 2" xfId="44"/>
    <cellStyle name="20% - Accent5 3" xfId="45"/>
    <cellStyle name="20% - Accent5 4" xfId="46"/>
    <cellStyle name="20% - Accent5 5" xfId="47"/>
    <cellStyle name="20% - Accent6" xfId="48"/>
    <cellStyle name="20% - Accent6 2" xfId="49"/>
    <cellStyle name="20% - Accent6 3" xfId="50"/>
    <cellStyle name="20% - Accent6 4" xfId="51"/>
    <cellStyle name="20% - Accent6 5" xfId="52"/>
    <cellStyle name="40% - Accent1" xfId="53"/>
    <cellStyle name="40% - Accent1 2" xfId="54"/>
    <cellStyle name="40% - Accent1 3" xfId="55"/>
    <cellStyle name="40% - Accent1 4" xfId="56"/>
    <cellStyle name="40% - Accent1 5" xfId="57"/>
    <cellStyle name="40% - Accent2" xfId="58"/>
    <cellStyle name="40% - Accent2 2" xfId="59"/>
    <cellStyle name="40% - Accent2 3" xfId="60"/>
    <cellStyle name="40% - Accent2 4" xfId="61"/>
    <cellStyle name="40% - Accent2 5" xfId="62"/>
    <cellStyle name="40% - Accent3" xfId="63"/>
    <cellStyle name="40% - Accent3 2" xfId="64"/>
    <cellStyle name="40% - Accent3 3" xfId="65"/>
    <cellStyle name="40% - Accent3 4" xfId="66"/>
    <cellStyle name="40% - Accent3 5" xfId="67"/>
    <cellStyle name="40% - Accent4" xfId="68"/>
    <cellStyle name="40% - Accent4 2" xfId="69"/>
    <cellStyle name="40% - Accent4 3" xfId="70"/>
    <cellStyle name="40% - Accent4 4" xfId="71"/>
    <cellStyle name="40% - Accent4 5" xfId="72"/>
    <cellStyle name="40% - Accent5" xfId="73"/>
    <cellStyle name="40% - Accent5 2" xfId="74"/>
    <cellStyle name="40% - Accent5 3" xfId="75"/>
    <cellStyle name="40% - Accent5 4" xfId="76"/>
    <cellStyle name="40% - Accent5 5" xfId="77"/>
    <cellStyle name="40% - Accent6" xfId="78"/>
    <cellStyle name="40% - Accent6 2" xfId="79"/>
    <cellStyle name="40% - Accent6 3" xfId="80"/>
    <cellStyle name="40% - Accent6 4" xfId="81"/>
    <cellStyle name="40% - Accent6 5" xfId="82"/>
    <cellStyle name="60% - Accent1" xfId="83"/>
    <cellStyle name="60% - Accent1 2" xfId="84"/>
    <cellStyle name="60% - Accent1 3" xfId="85"/>
    <cellStyle name="60% - Accent1 4" xfId="86"/>
    <cellStyle name="60% - Accent1 5" xfId="87"/>
    <cellStyle name="60% - Accent2" xfId="88"/>
    <cellStyle name="60% - Accent2 2" xfId="89"/>
    <cellStyle name="60% - Accent2 3" xfId="90"/>
    <cellStyle name="60% - Accent2 4" xfId="91"/>
    <cellStyle name="60% - Accent2 5" xfId="92"/>
    <cellStyle name="60% - Accent3" xfId="93"/>
    <cellStyle name="60% - Accent3 2" xfId="94"/>
    <cellStyle name="60% - Accent3 3" xfId="95"/>
    <cellStyle name="60% - Accent3 4" xfId="96"/>
    <cellStyle name="60% - Accent3 5" xfId="97"/>
    <cellStyle name="60% - Accent4" xfId="98"/>
    <cellStyle name="60% - Accent4 2" xfId="99"/>
    <cellStyle name="60% - Accent4 3" xfId="100"/>
    <cellStyle name="60% - Accent4 4" xfId="101"/>
    <cellStyle name="60% - Accent4 5" xfId="102"/>
    <cellStyle name="60% - Accent5" xfId="103"/>
    <cellStyle name="60% - Accent5 2" xfId="104"/>
    <cellStyle name="60% - Accent5 3" xfId="105"/>
    <cellStyle name="60% - Accent5 4" xfId="106"/>
    <cellStyle name="60% - Accent5 5" xfId="107"/>
    <cellStyle name="60% - Accent6" xfId="108"/>
    <cellStyle name="60% - Accent6 2" xfId="109"/>
    <cellStyle name="60% - Accent6 3" xfId="110"/>
    <cellStyle name="60% - Accent6 4" xfId="111"/>
    <cellStyle name="60% - Accent6 5" xfId="112"/>
    <cellStyle name="Accent1" xfId="113"/>
    <cellStyle name="Accent1 2" xfId="114"/>
    <cellStyle name="Accent1 3" xfId="115"/>
    <cellStyle name="Accent1 4" xfId="116"/>
    <cellStyle name="Accent1 5" xfId="117"/>
    <cellStyle name="Accent2" xfId="118"/>
    <cellStyle name="Accent2 2" xfId="119"/>
    <cellStyle name="Accent2 3" xfId="120"/>
    <cellStyle name="Accent2 4" xfId="121"/>
    <cellStyle name="Accent2 5" xfId="122"/>
    <cellStyle name="Accent3" xfId="123"/>
    <cellStyle name="Accent3 2" xfId="124"/>
    <cellStyle name="Accent3 3" xfId="125"/>
    <cellStyle name="Accent3 4" xfId="126"/>
    <cellStyle name="Accent3 5" xfId="127"/>
    <cellStyle name="Accent4" xfId="128"/>
    <cellStyle name="Accent4 2" xfId="129"/>
    <cellStyle name="Accent4 3" xfId="130"/>
    <cellStyle name="Accent4 4" xfId="131"/>
    <cellStyle name="Accent4 5" xfId="132"/>
    <cellStyle name="Accent5" xfId="133"/>
    <cellStyle name="Accent5 2" xfId="134"/>
    <cellStyle name="Accent5 3" xfId="135"/>
    <cellStyle name="Accent5 4" xfId="136"/>
    <cellStyle name="Accent5 5" xfId="137"/>
    <cellStyle name="Accent6" xfId="138"/>
    <cellStyle name="Accent6 2" xfId="139"/>
    <cellStyle name="Accent6 3" xfId="140"/>
    <cellStyle name="Accent6 4" xfId="141"/>
    <cellStyle name="Accent6 5" xfId="142"/>
    <cellStyle name="ÅëÈ­ [0]_¿ì¹°Åë" xfId="143"/>
    <cellStyle name="AeE­ [0]_INQUIRY ¿µ¾÷AßAø " xfId="144"/>
    <cellStyle name="ÅëÈ­ [0]_Sheet1" xfId="145"/>
    <cellStyle name="ÅëÈ­_¿ì¹°Åë" xfId="146"/>
    <cellStyle name="AeE­_INQUIRY ¿µ¾÷AßAø " xfId="147"/>
    <cellStyle name="ÅëÈ­_Sheet1" xfId="148"/>
    <cellStyle name="ÄÞ¸¶ [0]_¿ì¹°Åë" xfId="149"/>
    <cellStyle name="AÞ¸¶ [0]_INQUIRY ¿?¾÷AßAø " xfId="150"/>
    <cellStyle name="ÄÞ¸¶ [0]_Sheet1" xfId="151"/>
    <cellStyle name="ÄÞ¸¶_¿ì¹°Åë" xfId="152"/>
    <cellStyle name="AÞ¸¶_INQUIRY ¿?¾÷AßAø " xfId="153"/>
    <cellStyle name="ÄÞ¸¶_Sheet1" xfId="154"/>
    <cellStyle name="Bad" xfId="155"/>
    <cellStyle name="Bad 2" xfId="156"/>
    <cellStyle name="Bad 3" xfId="157"/>
    <cellStyle name="Bad 4" xfId="158"/>
    <cellStyle name="Bad 5" xfId="159"/>
    <cellStyle name="C?AØ_¿?¾÷CoE² " xfId="160"/>
    <cellStyle name="Ç¥ÁØ_´çÃÊ±¸ÀÔ»ý»ê" xfId="161"/>
    <cellStyle name="C￥AØ_¿μ¾÷CoE² " xfId="162"/>
    <cellStyle name="Ç¥ÁØ_±³°¢¼ö·®" xfId="163"/>
    <cellStyle name="Calculation" xfId="164"/>
    <cellStyle name="Calculation 2" xfId="165"/>
    <cellStyle name="Calculation 3" xfId="166"/>
    <cellStyle name="Calculation 4" xfId="167"/>
    <cellStyle name="Calculation 5" xfId="168"/>
    <cellStyle name="Comma" xfId="169"/>
    <cellStyle name="Comma [0]" xfId="170"/>
    <cellStyle name="Comma 2" xfId="171"/>
    <cellStyle name="Comma 3" xfId="172"/>
    <cellStyle name="Comma 3 2" xfId="173"/>
    <cellStyle name="Comma 4" xfId="174"/>
    <cellStyle name="Comma0" xfId="175"/>
    <cellStyle name="Currency" xfId="176"/>
    <cellStyle name="Currency [0]" xfId="177"/>
    <cellStyle name="Currency0" xfId="178"/>
    <cellStyle name="Check Cell" xfId="179"/>
    <cellStyle name="Check Cell 2" xfId="180"/>
    <cellStyle name="Check Cell 3" xfId="181"/>
    <cellStyle name="Check Cell 4" xfId="182"/>
    <cellStyle name="Check Cell 5" xfId="183"/>
    <cellStyle name="Date" xfId="184"/>
    <cellStyle name="Explanatory Text" xfId="185"/>
    <cellStyle name="Explanatory Text 2" xfId="186"/>
    <cellStyle name="Explanatory Text 3" xfId="187"/>
    <cellStyle name="Explanatory Text 4" xfId="188"/>
    <cellStyle name="Explanatory Text 5" xfId="189"/>
    <cellStyle name="Fixed" xfId="190"/>
    <cellStyle name="Followed Hyperlink" xfId="191"/>
    <cellStyle name="Good" xfId="192"/>
    <cellStyle name="Good 2" xfId="193"/>
    <cellStyle name="Good 3" xfId="194"/>
    <cellStyle name="Good 4" xfId="195"/>
    <cellStyle name="Good 5" xfId="196"/>
    <cellStyle name="Header1" xfId="197"/>
    <cellStyle name="Header2" xfId="198"/>
    <cellStyle name="Heading 1" xfId="199"/>
    <cellStyle name="Heading 1 2" xfId="200"/>
    <cellStyle name="Heading 1 3" xfId="201"/>
    <cellStyle name="Heading 1 4" xfId="202"/>
    <cellStyle name="Heading 1 5" xfId="203"/>
    <cellStyle name="Heading 2" xfId="204"/>
    <cellStyle name="Heading 2 2" xfId="205"/>
    <cellStyle name="Heading 2 3" xfId="206"/>
    <cellStyle name="Heading 2 4" xfId="207"/>
    <cellStyle name="Heading 2 5" xfId="208"/>
    <cellStyle name="Heading 3" xfId="209"/>
    <cellStyle name="Heading 3 2" xfId="210"/>
    <cellStyle name="Heading 3 3" xfId="211"/>
    <cellStyle name="Heading 3 4" xfId="212"/>
    <cellStyle name="Heading 3 5" xfId="213"/>
    <cellStyle name="Heading 4" xfId="214"/>
    <cellStyle name="Heading 4 2" xfId="215"/>
    <cellStyle name="Heading 4 3" xfId="216"/>
    <cellStyle name="Heading 4 4" xfId="217"/>
    <cellStyle name="Heading 4 5" xfId="218"/>
    <cellStyle name="Hyperlink" xfId="219"/>
    <cellStyle name="Input" xfId="220"/>
    <cellStyle name="Input 2" xfId="221"/>
    <cellStyle name="Input 3" xfId="222"/>
    <cellStyle name="Input 4" xfId="223"/>
    <cellStyle name="Input 5" xfId="224"/>
    <cellStyle name="Linked Cell" xfId="225"/>
    <cellStyle name="Linked Cell 2" xfId="226"/>
    <cellStyle name="Linked Cell 3" xfId="227"/>
    <cellStyle name="Linked Cell 4" xfId="228"/>
    <cellStyle name="Linked Cell 5" xfId="229"/>
    <cellStyle name="Neutral" xfId="230"/>
    <cellStyle name="Neutral 2" xfId="231"/>
    <cellStyle name="Neutral 3" xfId="232"/>
    <cellStyle name="Neutral 4" xfId="233"/>
    <cellStyle name="Neutral 5" xfId="234"/>
    <cellStyle name="Normal - Style1" xfId="235"/>
    <cellStyle name="Normal 10" xfId="236"/>
    <cellStyle name="Normal 10 2" xfId="237"/>
    <cellStyle name="Normal 11" xfId="238"/>
    <cellStyle name="Normal 2" xfId="239"/>
    <cellStyle name="Normal 3" xfId="240"/>
    <cellStyle name="Normal 3 2" xfId="241"/>
    <cellStyle name="Normal 4" xfId="242"/>
    <cellStyle name="Normal 5" xfId="243"/>
    <cellStyle name="Normal 6" xfId="244"/>
    <cellStyle name="Normal 7" xfId="245"/>
    <cellStyle name="Normal 8" xfId="246"/>
    <cellStyle name="Normal 9" xfId="247"/>
    <cellStyle name="Normal_BTHDT1" xfId="248"/>
    <cellStyle name="Normal_EC_Promotion_Log_2009" xfId="249"/>
    <cellStyle name="Normal_gửi TNMT và Phường" xfId="250"/>
    <cellStyle name="Normal_Sheet1" xfId="251"/>
    <cellStyle name="Normal_Sheet1_1" xfId="252"/>
    <cellStyle name="Normal_Sheet7" xfId="253"/>
    <cellStyle name="Note" xfId="254"/>
    <cellStyle name="Note 2" xfId="255"/>
    <cellStyle name="Note 3" xfId="256"/>
    <cellStyle name="Note 4" xfId="257"/>
    <cellStyle name="Note 5" xfId="258"/>
    <cellStyle name="Note 6" xfId="259"/>
    <cellStyle name="Note 7" xfId="260"/>
    <cellStyle name="Note 8" xfId="261"/>
    <cellStyle name="Note 9" xfId="262"/>
    <cellStyle name="Output" xfId="263"/>
    <cellStyle name="Output 2" xfId="264"/>
    <cellStyle name="Output 3" xfId="265"/>
    <cellStyle name="Output 4" xfId="266"/>
    <cellStyle name="Output 5" xfId="267"/>
    <cellStyle name="Percent" xfId="268"/>
    <cellStyle name="Percent 2" xfId="269"/>
    <cellStyle name="Percent 3" xfId="270"/>
    <cellStyle name="T" xfId="271"/>
    <cellStyle name="Title" xfId="272"/>
    <cellStyle name="Title 2" xfId="273"/>
    <cellStyle name="Title 3" xfId="274"/>
    <cellStyle name="Title 4" xfId="275"/>
    <cellStyle name="Title 5" xfId="276"/>
    <cellStyle name="Total" xfId="277"/>
    <cellStyle name="Total 2" xfId="278"/>
    <cellStyle name="Total 3" xfId="279"/>
    <cellStyle name="Total 4" xfId="280"/>
    <cellStyle name="Total 5" xfId="281"/>
    <cellStyle name="th" xfId="282"/>
    <cellStyle name="viet" xfId="283"/>
    <cellStyle name="viet2" xfId="284"/>
    <cellStyle name="Warning Text" xfId="285"/>
    <cellStyle name="Warning Text 2" xfId="286"/>
    <cellStyle name="Warning Text 3" xfId="287"/>
    <cellStyle name="Warning Text 4" xfId="288"/>
    <cellStyle name="Warning Text 5" xfId="289"/>
    <cellStyle name="똿뗦먛귟 [0.00]_PRODUCT DETAIL Q1" xfId="290"/>
    <cellStyle name="똿뗦먛귟_PRODUCT DETAIL Q1" xfId="291"/>
    <cellStyle name="믅됞 [0.00]_PRODUCT DETAIL Q1" xfId="292"/>
    <cellStyle name="믅됞_PRODUCT DETAIL Q1" xfId="293"/>
    <cellStyle name="백분율_95" xfId="294"/>
    <cellStyle name="뷭?_BOOKSHIP" xfId="295"/>
    <cellStyle name="콤마 [0]_1202" xfId="296"/>
    <cellStyle name="콤마_1202" xfId="297"/>
    <cellStyle name="통화 [0]_1202" xfId="298"/>
    <cellStyle name="통화_1202" xfId="299"/>
    <cellStyle name="표준_(정보부문)월별인원계획" xfId="300"/>
    <cellStyle name="一般_Book1" xfId="301"/>
    <cellStyle name="千分位[0]_Book1" xfId="302"/>
    <cellStyle name="千分位_Book1" xfId="303"/>
    <cellStyle name="貨幣 [0]_Book1" xfId="304"/>
    <cellStyle name="貨幣_Book1" xfId="3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76200" cy="447675"/>
    <xdr:sp>
      <xdr:nvSpPr>
        <xdr:cNvPr id="1"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4"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5"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6"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7"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8"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9"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0"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1"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2"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3"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4"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5"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6"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7"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8"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19"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0"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1"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2"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3"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4"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5"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6"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7"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8"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29"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0"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1"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2"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3" name="Text Box 1"/>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4" name="Text Box 2"/>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5" name="Text Box 3"/>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76200" cy="447675"/>
    <xdr:sp>
      <xdr:nvSpPr>
        <xdr:cNvPr id="36" name="Text Box 4"/>
        <xdr:cNvSpPr txBox="1">
          <a:spLocks noChangeArrowheads="1"/>
        </xdr:cNvSpPr>
      </xdr:nvSpPr>
      <xdr:spPr>
        <a:xfrm>
          <a:off x="3514725" y="2857500"/>
          <a:ext cx="7620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75"/>
  <sheetViews>
    <sheetView tabSelected="1" zoomScalePageLayoutView="0" workbookViewId="0" topLeftCell="A1">
      <selection activeCell="C6" sqref="C6:H6"/>
    </sheetView>
  </sheetViews>
  <sheetFormatPr defaultColWidth="9.140625" defaultRowHeight="15"/>
  <cols>
    <col min="1" max="1" width="3.140625" style="25" customWidth="1"/>
    <col min="2" max="2" width="4.7109375" style="41" customWidth="1"/>
    <col min="3" max="3" width="24.140625" style="1" customWidth="1"/>
    <col min="4" max="4" width="7.421875" style="38" customWidth="1"/>
    <col min="5" max="5" width="5.421875" style="2" customWidth="1"/>
    <col min="6" max="6" width="7.8515625" style="9" customWidth="1"/>
    <col min="7" max="7" width="11.140625" style="2" customWidth="1"/>
    <col min="8" max="8" width="7.00390625" style="2" customWidth="1"/>
    <col min="9" max="9" width="6.28125" style="2" customWidth="1"/>
    <col min="10" max="10" width="15.00390625" style="3" customWidth="1"/>
    <col min="11" max="11" width="29.28125" style="5" customWidth="1"/>
    <col min="12" max="12" width="29.28125" style="23" customWidth="1"/>
    <col min="13" max="13" width="26.7109375" style="1" customWidth="1"/>
    <col min="14" max="14" width="17.00390625" style="4" customWidth="1"/>
    <col min="15" max="15" width="9.140625" style="1" customWidth="1"/>
    <col min="16" max="16" width="12.421875" style="1" bestFit="1" customWidth="1"/>
    <col min="17" max="16384" width="9.140625" style="1" customWidth="1"/>
  </cols>
  <sheetData>
    <row r="1" spans="1:14" s="7" customFormat="1" ht="76.5" customHeight="1">
      <c r="A1" s="259" t="s">
        <v>271</v>
      </c>
      <c r="B1" s="259"/>
      <c r="C1" s="259"/>
      <c r="D1" s="259"/>
      <c r="E1" s="259"/>
      <c r="F1" s="259"/>
      <c r="G1" s="259"/>
      <c r="H1" s="259"/>
      <c r="I1" s="259"/>
      <c r="J1" s="259"/>
      <c r="K1" s="10"/>
      <c r="L1" s="23"/>
      <c r="N1" s="11"/>
    </row>
    <row r="2" spans="1:14" s="7" customFormat="1" ht="46.5" customHeight="1">
      <c r="A2" s="271" t="s">
        <v>273</v>
      </c>
      <c r="B2" s="271"/>
      <c r="C2" s="271"/>
      <c r="D2" s="271"/>
      <c r="E2" s="271"/>
      <c r="F2" s="271"/>
      <c r="G2" s="271"/>
      <c r="H2" s="271"/>
      <c r="I2" s="271"/>
      <c r="J2" s="271"/>
      <c r="K2" s="10"/>
      <c r="L2" s="23"/>
      <c r="N2" s="11"/>
    </row>
    <row r="3" spans="1:14" s="7" customFormat="1" ht="18" customHeight="1">
      <c r="A3" s="263" t="s">
        <v>1</v>
      </c>
      <c r="B3" s="263" t="s">
        <v>26</v>
      </c>
      <c r="C3" s="260" t="s">
        <v>7</v>
      </c>
      <c r="D3" s="260" t="s">
        <v>10</v>
      </c>
      <c r="E3" s="261" t="s">
        <v>2</v>
      </c>
      <c r="F3" s="262" t="s">
        <v>3</v>
      </c>
      <c r="G3" s="262"/>
      <c r="H3" s="262"/>
      <c r="I3" s="262"/>
      <c r="J3" s="262"/>
      <c r="K3" s="10"/>
      <c r="L3" s="23"/>
      <c r="N3" s="11"/>
    </row>
    <row r="4" spans="1:14" s="7" customFormat="1" ht="64.5" customHeight="1">
      <c r="A4" s="263"/>
      <c r="B4" s="263"/>
      <c r="C4" s="260"/>
      <c r="D4" s="260"/>
      <c r="E4" s="261"/>
      <c r="F4" s="12" t="s">
        <v>4</v>
      </c>
      <c r="G4" s="13" t="s">
        <v>5</v>
      </c>
      <c r="H4" s="14" t="s">
        <v>8</v>
      </c>
      <c r="I4" s="14" t="s">
        <v>9</v>
      </c>
      <c r="J4" s="15" t="s">
        <v>6</v>
      </c>
      <c r="K4" s="10"/>
      <c r="L4" s="22" t="s">
        <v>37</v>
      </c>
      <c r="M4" s="6" t="s">
        <v>11</v>
      </c>
      <c r="N4" s="11"/>
    </row>
    <row r="5" spans="1:14" s="7" customFormat="1" ht="19.5" customHeight="1">
      <c r="A5" s="24">
        <v>1</v>
      </c>
      <c r="B5" s="40">
        <v>1</v>
      </c>
      <c r="C5" s="16" t="s">
        <v>12</v>
      </c>
      <c r="D5" s="37" t="s">
        <v>13</v>
      </c>
      <c r="E5" s="17">
        <v>4</v>
      </c>
      <c r="F5" s="18">
        <v>5</v>
      </c>
      <c r="G5" s="19" t="s">
        <v>14</v>
      </c>
      <c r="H5" s="20">
        <v>7</v>
      </c>
      <c r="I5" s="20">
        <v>8</v>
      </c>
      <c r="J5" s="21" t="s">
        <v>15</v>
      </c>
      <c r="K5" s="10"/>
      <c r="L5" s="23"/>
      <c r="M5" s="8"/>
      <c r="N5" s="11"/>
    </row>
    <row r="6" spans="1:12" s="225" customFormat="1" ht="57.75" customHeight="1">
      <c r="A6" s="232">
        <v>1</v>
      </c>
      <c r="B6" s="233">
        <v>99</v>
      </c>
      <c r="C6" s="269" t="s">
        <v>274</v>
      </c>
      <c r="D6" s="269"/>
      <c r="E6" s="269"/>
      <c r="F6" s="269"/>
      <c r="G6" s="269"/>
      <c r="H6" s="269"/>
      <c r="I6" s="234"/>
      <c r="J6" s="235">
        <f>SUM(J7:J10)</f>
        <v>566402000</v>
      </c>
      <c r="K6" s="223">
        <f>ROUND(F6*G6*H6*I6,-3)</f>
        <v>0</v>
      </c>
      <c r="L6" s="224"/>
    </row>
    <row r="7" spans="1:12" s="225" customFormat="1" ht="102.75" customHeight="1">
      <c r="A7" s="236"/>
      <c r="B7" s="237"/>
      <c r="C7" s="238" t="s">
        <v>40</v>
      </c>
      <c r="D7" s="239" t="s">
        <v>41</v>
      </c>
      <c r="E7" s="240" t="s">
        <v>272</v>
      </c>
      <c r="F7" s="241">
        <f>10.6*4+11.6*4</f>
        <v>88.8</v>
      </c>
      <c r="G7" s="242">
        <v>5339000</v>
      </c>
      <c r="H7" s="243">
        <v>1</v>
      </c>
      <c r="I7" s="244">
        <v>1.148</v>
      </c>
      <c r="J7" s="245">
        <f>ROUND((F7*G7*H7*I7),-3)</f>
        <v>544270000</v>
      </c>
      <c r="K7" s="223">
        <f>ROUND(F7*G7*H7*I7,-3)</f>
        <v>544270000</v>
      </c>
      <c r="L7" s="226"/>
    </row>
    <row r="8" spans="1:11" s="225" customFormat="1" ht="22.5">
      <c r="A8" s="246"/>
      <c r="B8" s="246"/>
      <c r="C8" s="238" t="s">
        <v>42</v>
      </c>
      <c r="D8" s="247" t="s">
        <v>24</v>
      </c>
      <c r="E8" s="240" t="s">
        <v>17</v>
      </c>
      <c r="F8" s="248">
        <f>8*4</f>
        <v>32</v>
      </c>
      <c r="G8" s="249">
        <v>385000</v>
      </c>
      <c r="H8" s="243">
        <v>1</v>
      </c>
      <c r="I8" s="244">
        <v>1.148</v>
      </c>
      <c r="J8" s="250">
        <f>ROUND(F8*G8*H8*I8,-3)</f>
        <v>14143000</v>
      </c>
      <c r="K8" s="223">
        <f>ROUND(F8*G8*H8*I8,-3)</f>
        <v>14143000</v>
      </c>
    </row>
    <row r="9" spans="1:11" s="225" customFormat="1" ht="33.75">
      <c r="A9" s="251"/>
      <c r="B9" s="252"/>
      <c r="C9" s="238" t="s">
        <v>38</v>
      </c>
      <c r="D9" s="239" t="s">
        <v>39</v>
      </c>
      <c r="E9" s="240" t="s">
        <v>17</v>
      </c>
      <c r="F9" s="253">
        <f>4.5*0.6</f>
        <v>2.6999999999999997</v>
      </c>
      <c r="G9" s="242">
        <v>453000</v>
      </c>
      <c r="H9" s="243">
        <v>1</v>
      </c>
      <c r="I9" s="244">
        <v>1.148</v>
      </c>
      <c r="J9" s="254">
        <f>ROUND(F9*G9*H9*I9,-3)</f>
        <v>1404000</v>
      </c>
      <c r="K9" s="223">
        <f>ROUND(F9*G9*H9*I9,-3)</f>
        <v>1404000</v>
      </c>
    </row>
    <row r="10" spans="1:11" s="225" customFormat="1" ht="31.5">
      <c r="A10" s="251"/>
      <c r="B10" s="252"/>
      <c r="C10" s="238" t="s">
        <v>43</v>
      </c>
      <c r="D10" s="239" t="s">
        <v>23</v>
      </c>
      <c r="E10" s="244" t="s">
        <v>17</v>
      </c>
      <c r="F10" s="253">
        <f>9.4*1.8</f>
        <v>16.92</v>
      </c>
      <c r="G10" s="255">
        <v>339000</v>
      </c>
      <c r="H10" s="243">
        <v>1</v>
      </c>
      <c r="I10" s="244">
        <v>1.148</v>
      </c>
      <c r="J10" s="254">
        <f>ROUND(F10*G10*H10*I10,-3)</f>
        <v>6585000</v>
      </c>
      <c r="K10" s="223">
        <f>ROUND(F10*G10*H10*I10,-3)</f>
        <v>6585000</v>
      </c>
    </row>
    <row r="11" spans="1:14" s="228" customFormat="1" ht="15.75">
      <c r="A11" s="256"/>
      <c r="B11" s="257"/>
      <c r="C11" s="270" t="s">
        <v>16</v>
      </c>
      <c r="D11" s="270"/>
      <c r="E11" s="270"/>
      <c r="F11" s="270"/>
      <c r="G11" s="270"/>
      <c r="H11" s="270"/>
      <c r="I11" s="270"/>
      <c r="J11" s="258">
        <f>SUM(J6:J10)/2</f>
        <v>566402000</v>
      </c>
      <c r="K11" s="26">
        <f>SUM(K6:K10)</f>
        <v>566402000</v>
      </c>
      <c r="L11" s="227"/>
      <c r="N11" s="229" t="e">
        <f>SUM(#REF!)</f>
        <v>#REF!</v>
      </c>
    </row>
    <row r="12" spans="1:14" s="228" customFormat="1" ht="38.25" customHeight="1">
      <c r="A12" s="268" t="s">
        <v>270</v>
      </c>
      <c r="B12" s="268"/>
      <c r="C12" s="268"/>
      <c r="D12" s="268"/>
      <c r="E12" s="268"/>
      <c r="F12" s="268"/>
      <c r="G12" s="268"/>
      <c r="H12" s="268"/>
      <c r="I12" s="268"/>
      <c r="J12" s="268"/>
      <c r="K12" s="230">
        <f>ROUND(F12*G12*H12*I12,-3)</f>
        <v>0</v>
      </c>
      <c r="L12" s="227"/>
      <c r="N12" s="231"/>
    </row>
    <row r="29" ht="404.25" customHeight="1"/>
    <row r="30" spans="1:14" s="48" customFormat="1" ht="42.75" customHeight="1">
      <c r="A30" s="42">
        <v>33</v>
      </c>
      <c r="B30" s="42">
        <v>8</v>
      </c>
      <c r="C30" s="272" t="s">
        <v>128</v>
      </c>
      <c r="D30" s="272"/>
      <c r="E30" s="272"/>
      <c r="F30" s="272"/>
      <c r="G30" s="272"/>
      <c r="H30" s="272"/>
      <c r="I30" s="43"/>
      <c r="J30" s="44">
        <f>SUM(J31:J32)</f>
        <v>675872000</v>
      </c>
      <c r="K30" s="45">
        <f>ROUND(F30*G30*H30*I30,-3)</f>
        <v>0</v>
      </c>
      <c r="L30" s="46"/>
      <c r="N30" s="47"/>
    </row>
    <row r="31" spans="1:14" s="57" customFormat="1" ht="63">
      <c r="A31" s="49"/>
      <c r="B31" s="49"/>
      <c r="C31" s="50" t="s">
        <v>94</v>
      </c>
      <c r="D31" s="51" t="s">
        <v>95</v>
      </c>
      <c r="E31" s="52" t="s">
        <v>96</v>
      </c>
      <c r="F31" s="53">
        <v>101.4</v>
      </c>
      <c r="G31" s="89">
        <v>5796000</v>
      </c>
      <c r="H31" s="90">
        <v>1</v>
      </c>
      <c r="I31" s="91">
        <v>1.15</v>
      </c>
      <c r="J31" s="54">
        <f>ROUND(F31*G31*H31*I31,-3)</f>
        <v>675872000</v>
      </c>
      <c r="K31" s="45">
        <f>ROUND(F31*G31*H31*I31,-3)</f>
        <v>675872000</v>
      </c>
      <c r="L31" s="92"/>
      <c r="M31" s="55">
        <f>ROUND(G31*H31*I31*F31,-3)</f>
        <v>675872000</v>
      </c>
      <c r="N31" s="56" t="s">
        <v>99</v>
      </c>
    </row>
    <row r="32" spans="1:14" s="57" customFormat="1" ht="82.5" customHeight="1">
      <c r="A32" s="49"/>
      <c r="B32" s="49"/>
      <c r="C32" s="50" t="s">
        <v>94</v>
      </c>
      <c r="D32" s="51" t="s">
        <v>95</v>
      </c>
      <c r="E32" s="52" t="s">
        <v>96</v>
      </c>
      <c r="F32" s="53">
        <v>1</v>
      </c>
      <c r="G32" s="265" t="s">
        <v>97</v>
      </c>
      <c r="H32" s="266"/>
      <c r="I32" s="267"/>
      <c r="J32" s="54"/>
      <c r="K32" s="45">
        <v>0</v>
      </c>
      <c r="L32" s="76" t="s">
        <v>126</v>
      </c>
      <c r="M32" s="109" t="e">
        <f>ROUND(#REF!*G32*I32*F32,-3)</f>
        <v>#REF!</v>
      </c>
      <c r="N32" s="56" t="s">
        <v>99</v>
      </c>
    </row>
    <row r="33" spans="1:14" s="48" customFormat="1" ht="42.75" customHeight="1">
      <c r="A33" s="42">
        <v>34</v>
      </c>
      <c r="B33" s="42" t="s">
        <v>129</v>
      </c>
      <c r="C33" s="272" t="s">
        <v>130</v>
      </c>
      <c r="D33" s="272"/>
      <c r="E33" s="272"/>
      <c r="F33" s="272"/>
      <c r="G33" s="272"/>
      <c r="H33" s="272"/>
      <c r="I33" s="43"/>
      <c r="J33" s="44">
        <f>SUM(J35:J52)</f>
        <v>266589000</v>
      </c>
      <c r="K33" s="45">
        <f aca="true" t="shared" si="0" ref="K33:K53">ROUND(F33*G33*H33*I33,-3)</f>
        <v>0</v>
      </c>
      <c r="L33" s="46"/>
      <c r="N33" s="47"/>
    </row>
    <row r="34" spans="1:16" s="105" customFormat="1" ht="21.75" customHeight="1">
      <c r="A34" s="107"/>
      <c r="B34" s="107"/>
      <c r="C34" s="273" t="s">
        <v>131</v>
      </c>
      <c r="D34" s="273"/>
      <c r="E34" s="273"/>
      <c r="F34" s="273"/>
      <c r="G34" s="273"/>
      <c r="H34" s="273"/>
      <c r="I34" s="273"/>
      <c r="J34" s="97"/>
      <c r="K34" s="45">
        <f t="shared" si="0"/>
        <v>0</v>
      </c>
      <c r="L34" s="46"/>
      <c r="M34" s="87">
        <f>J34-K34</f>
        <v>0</v>
      </c>
      <c r="N34" s="108" t="s">
        <v>126</v>
      </c>
      <c r="O34" s="103">
        <f>ROUND(G34*H34*I34*F34,-3)</f>
        <v>0</v>
      </c>
      <c r="P34" s="104" t="s">
        <v>99</v>
      </c>
    </row>
    <row r="35" spans="1:14" s="83" customFormat="1" ht="100.5" customHeight="1">
      <c r="A35" s="42"/>
      <c r="B35" s="42"/>
      <c r="C35" s="68" t="s">
        <v>132</v>
      </c>
      <c r="D35" s="59" t="s">
        <v>133</v>
      </c>
      <c r="E35" s="60" t="s">
        <v>17</v>
      </c>
      <c r="F35" s="79">
        <f>3.2*4.6+3.35*3.6</f>
        <v>26.78</v>
      </c>
      <c r="G35" s="102">
        <v>3224000</v>
      </c>
      <c r="H35" s="80">
        <v>1</v>
      </c>
      <c r="I35" s="64">
        <v>1.148</v>
      </c>
      <c r="J35" s="65">
        <f aca="true" t="shared" si="1" ref="J35:J47">ROUND(F35*G35*H35*I35,-3)</f>
        <v>99117000</v>
      </c>
      <c r="K35" s="45">
        <f t="shared" si="0"/>
        <v>99117000</v>
      </c>
      <c r="L35" s="46"/>
      <c r="M35" s="81"/>
      <c r="N35" s="82">
        <f>ROUND(F35*G35*H35*I35,-3)</f>
        <v>99117000</v>
      </c>
    </row>
    <row r="36" spans="1:16" s="7" customFormat="1" ht="36.75" customHeight="1">
      <c r="A36" s="42"/>
      <c r="B36" s="42"/>
      <c r="C36" s="58" t="s">
        <v>134</v>
      </c>
      <c r="D36" s="59" t="s">
        <v>25</v>
      </c>
      <c r="E36" s="60" t="s">
        <v>17</v>
      </c>
      <c r="F36" s="64">
        <f>3.2*4.6+3.3*3.5</f>
        <v>26.269999999999996</v>
      </c>
      <c r="G36" s="86">
        <v>236000</v>
      </c>
      <c r="H36" s="77">
        <v>1</v>
      </c>
      <c r="I36" s="64">
        <v>1.148</v>
      </c>
      <c r="J36" s="54">
        <f t="shared" si="1"/>
        <v>7117000</v>
      </c>
      <c r="K36" s="45">
        <f t="shared" si="0"/>
        <v>7117000</v>
      </c>
      <c r="L36" s="46"/>
      <c r="M36" s="87">
        <f>J36-K36</f>
        <v>0</v>
      </c>
      <c r="N36" s="88"/>
      <c r="O36" s="66"/>
      <c r="P36" s="67"/>
    </row>
    <row r="37" spans="1:14" s="7" customFormat="1" ht="39.75" customHeight="1">
      <c r="A37" s="42"/>
      <c r="B37" s="42"/>
      <c r="C37" s="68" t="s">
        <v>135</v>
      </c>
      <c r="D37" s="69" t="s">
        <v>18</v>
      </c>
      <c r="E37" s="60" t="s">
        <v>17</v>
      </c>
      <c r="F37" s="61">
        <f>11.8*0.6+9*1</f>
        <v>16.08</v>
      </c>
      <c r="G37" s="62">
        <v>792000</v>
      </c>
      <c r="H37" s="77">
        <v>1</v>
      </c>
      <c r="I37" s="64">
        <v>1.148</v>
      </c>
      <c r="J37" s="65">
        <f t="shared" si="1"/>
        <v>14620000</v>
      </c>
      <c r="K37" s="45">
        <f t="shared" si="0"/>
        <v>14620000</v>
      </c>
      <c r="L37" s="46"/>
      <c r="M37" s="66"/>
      <c r="N37" s="67">
        <f>ROUND(F37*G37*H37*I37,-3)</f>
        <v>14620000</v>
      </c>
    </row>
    <row r="38" spans="1:14" s="7" customFormat="1" ht="45.75" customHeight="1">
      <c r="A38" s="42"/>
      <c r="B38" s="42"/>
      <c r="C38" s="58" t="s">
        <v>136</v>
      </c>
      <c r="D38" s="59" t="s">
        <v>20</v>
      </c>
      <c r="E38" s="60" t="s">
        <v>17</v>
      </c>
      <c r="F38" s="61">
        <f>9.1*1.55+3.2*1.1+8.6*9</f>
        <v>95.02499999999999</v>
      </c>
      <c r="G38" s="62">
        <v>453000</v>
      </c>
      <c r="H38" s="77">
        <v>1</v>
      </c>
      <c r="I38" s="64">
        <v>1.148</v>
      </c>
      <c r="J38" s="65">
        <f t="shared" si="1"/>
        <v>49417000</v>
      </c>
      <c r="K38" s="45">
        <f t="shared" si="0"/>
        <v>49417000</v>
      </c>
      <c r="L38" s="46"/>
      <c r="M38" s="66"/>
      <c r="N38" s="67">
        <f>ROUND(F38*G38*H38*I38,-3)</f>
        <v>49417000</v>
      </c>
    </row>
    <row r="39" spans="1:14" s="7" customFormat="1" ht="37.5" customHeight="1">
      <c r="A39" s="42"/>
      <c r="B39" s="42"/>
      <c r="C39" s="58" t="s">
        <v>137</v>
      </c>
      <c r="D39" s="59" t="s">
        <v>23</v>
      </c>
      <c r="E39" s="60" t="s">
        <v>17</v>
      </c>
      <c r="F39" s="61">
        <f>6*1+5*1.3+2.4*8.5</f>
        <v>32.9</v>
      </c>
      <c r="G39" s="102">
        <v>339000</v>
      </c>
      <c r="H39" s="77">
        <v>1</v>
      </c>
      <c r="I39" s="64">
        <v>1.148</v>
      </c>
      <c r="J39" s="65">
        <f t="shared" si="1"/>
        <v>12804000</v>
      </c>
      <c r="K39" s="45">
        <f t="shared" si="0"/>
        <v>12804000</v>
      </c>
      <c r="L39" s="46"/>
      <c r="M39" s="66"/>
      <c r="N39" s="67"/>
    </row>
    <row r="40" spans="1:14" s="7" customFormat="1" ht="42.75" customHeight="1">
      <c r="A40" s="42"/>
      <c r="B40" s="42"/>
      <c r="C40" s="84" t="s">
        <v>138</v>
      </c>
      <c r="D40" s="85" t="s">
        <v>124</v>
      </c>
      <c r="E40" s="60" t="s">
        <v>17</v>
      </c>
      <c r="F40" s="61">
        <f>4.7*2.3</f>
        <v>10.809999999999999</v>
      </c>
      <c r="G40" s="62">
        <v>215000</v>
      </c>
      <c r="H40" s="77">
        <v>1</v>
      </c>
      <c r="I40" s="64">
        <v>1.148</v>
      </c>
      <c r="J40" s="65">
        <f t="shared" si="1"/>
        <v>2668000</v>
      </c>
      <c r="K40" s="45">
        <f t="shared" si="0"/>
        <v>2668000</v>
      </c>
      <c r="L40" s="46"/>
      <c r="M40" s="66"/>
      <c r="N40" s="67">
        <f>ROUND(F40*G40*H40*I40,-3)</f>
        <v>2668000</v>
      </c>
    </row>
    <row r="41" spans="1:14" s="7" customFormat="1" ht="36" customHeight="1">
      <c r="A41" s="42"/>
      <c r="B41" s="42"/>
      <c r="C41" s="58" t="s">
        <v>139</v>
      </c>
      <c r="D41" s="59" t="s">
        <v>122</v>
      </c>
      <c r="E41" s="60" t="s">
        <v>17</v>
      </c>
      <c r="F41" s="61">
        <f>2.36*2</f>
        <v>4.72</v>
      </c>
      <c r="G41" s="62">
        <v>566000</v>
      </c>
      <c r="H41" s="77">
        <v>1</v>
      </c>
      <c r="I41" s="64">
        <v>1.148</v>
      </c>
      <c r="J41" s="65">
        <f t="shared" si="1"/>
        <v>3067000</v>
      </c>
      <c r="K41" s="45">
        <f t="shared" si="0"/>
        <v>3067000</v>
      </c>
      <c r="L41" s="46"/>
      <c r="M41" s="66"/>
      <c r="N41" s="67">
        <f>ROUND(F41*G41*H41*I41,-3)</f>
        <v>3067000</v>
      </c>
    </row>
    <row r="42" spans="1:16" s="7" customFormat="1" ht="36.75" customHeight="1">
      <c r="A42" s="42"/>
      <c r="B42" s="42"/>
      <c r="C42" s="58" t="s">
        <v>140</v>
      </c>
      <c r="D42" s="59" t="s">
        <v>25</v>
      </c>
      <c r="E42" s="60" t="s">
        <v>17</v>
      </c>
      <c r="F42" s="64">
        <f>3*1.5</f>
        <v>4.5</v>
      </c>
      <c r="G42" s="86">
        <v>236000</v>
      </c>
      <c r="H42" s="77">
        <v>1</v>
      </c>
      <c r="I42" s="64">
        <v>1.148</v>
      </c>
      <c r="J42" s="54">
        <f t="shared" si="1"/>
        <v>1219000</v>
      </c>
      <c r="K42" s="45">
        <f t="shared" si="0"/>
        <v>1219000</v>
      </c>
      <c r="L42" s="46"/>
      <c r="M42" s="87">
        <f>J42-K42</f>
        <v>0</v>
      </c>
      <c r="N42" s="88"/>
      <c r="O42" s="66"/>
      <c r="P42" s="67"/>
    </row>
    <row r="43" spans="1:14" s="7" customFormat="1" ht="36" customHeight="1">
      <c r="A43" s="42"/>
      <c r="B43" s="42"/>
      <c r="C43" s="58" t="s">
        <v>141</v>
      </c>
      <c r="D43" s="59" t="s">
        <v>103</v>
      </c>
      <c r="E43" s="76" t="s">
        <v>17</v>
      </c>
      <c r="F43" s="61">
        <f>11.8*1+3*1</f>
        <v>14.8</v>
      </c>
      <c r="G43" s="62">
        <v>11000</v>
      </c>
      <c r="H43" s="77">
        <v>1</v>
      </c>
      <c r="I43" s="64">
        <v>1.148</v>
      </c>
      <c r="J43" s="65">
        <f t="shared" si="1"/>
        <v>187000</v>
      </c>
      <c r="K43" s="45">
        <f t="shared" si="0"/>
        <v>187000</v>
      </c>
      <c r="L43" s="46"/>
      <c r="M43" s="66"/>
      <c r="N43" s="67">
        <f>ROUND(F43*G43*H43*I43,-3)</f>
        <v>187000</v>
      </c>
    </row>
    <row r="44" spans="1:14" s="83" customFormat="1" ht="47.25">
      <c r="A44" s="42"/>
      <c r="B44" s="42"/>
      <c r="C44" s="68" t="s">
        <v>142</v>
      </c>
      <c r="D44" s="59" t="s">
        <v>22</v>
      </c>
      <c r="E44" s="78" t="s">
        <v>121</v>
      </c>
      <c r="F44" s="79">
        <f>2.7*0.6*0.25*2+12.6*2.95*0.7</f>
        <v>26.828999999999997</v>
      </c>
      <c r="G44" s="62">
        <v>1000000</v>
      </c>
      <c r="H44" s="80">
        <v>1</v>
      </c>
      <c r="I44" s="64">
        <v>1.148</v>
      </c>
      <c r="J44" s="65">
        <f t="shared" si="1"/>
        <v>30800000</v>
      </c>
      <c r="K44" s="45">
        <f t="shared" si="0"/>
        <v>30800000</v>
      </c>
      <c r="L44" s="46"/>
      <c r="M44" s="81"/>
      <c r="N44" s="82">
        <f>ROUND(F44*G44*H44*I44,-3)</f>
        <v>30800000</v>
      </c>
    </row>
    <row r="45" spans="1:14" s="83" customFormat="1" ht="31.5">
      <c r="A45" s="42"/>
      <c r="B45" s="42"/>
      <c r="C45" s="110" t="s">
        <v>143</v>
      </c>
      <c r="D45" s="111" t="s">
        <v>124</v>
      </c>
      <c r="E45" s="71" t="s">
        <v>17</v>
      </c>
      <c r="F45" s="72">
        <f>14*3.1+6.6*8.5</f>
        <v>99.5</v>
      </c>
      <c r="G45" s="73">
        <v>215000</v>
      </c>
      <c r="H45" s="63">
        <v>1</v>
      </c>
      <c r="I45" s="74">
        <v>1.148</v>
      </c>
      <c r="J45" s="75">
        <f>ROUND(F45*G45*H45*I45,-3)</f>
        <v>24559000</v>
      </c>
      <c r="K45" s="45">
        <f t="shared" si="0"/>
        <v>24559000</v>
      </c>
      <c r="L45" s="46" t="s">
        <v>144</v>
      </c>
      <c r="M45" s="81"/>
      <c r="N45" s="82"/>
    </row>
    <row r="46" spans="1:14" s="83" customFormat="1" ht="31.5">
      <c r="A46" s="42"/>
      <c r="B46" s="42"/>
      <c r="C46" s="68" t="s">
        <v>145</v>
      </c>
      <c r="D46" s="59" t="s">
        <v>146</v>
      </c>
      <c r="E46" s="78" t="s">
        <v>120</v>
      </c>
      <c r="F46" s="79">
        <f>14*1.1*0.3</f>
        <v>4.62</v>
      </c>
      <c r="G46" s="62">
        <v>2482000</v>
      </c>
      <c r="H46" s="80">
        <v>1</v>
      </c>
      <c r="I46" s="64">
        <v>1.148</v>
      </c>
      <c r="J46" s="65">
        <f t="shared" si="1"/>
        <v>13164000</v>
      </c>
      <c r="K46" s="45">
        <f t="shared" si="0"/>
        <v>13164000</v>
      </c>
      <c r="L46" s="46"/>
      <c r="M46" s="81"/>
      <c r="N46" s="82">
        <f aca="true" t="shared" si="2" ref="N46:N51">ROUND(F46*G46*H46*I46,-3)</f>
        <v>13164000</v>
      </c>
    </row>
    <row r="47" spans="1:14" s="7" customFormat="1" ht="36" customHeight="1">
      <c r="A47" s="42"/>
      <c r="B47" s="42"/>
      <c r="C47" s="58" t="s">
        <v>127</v>
      </c>
      <c r="D47" s="59" t="s">
        <v>30</v>
      </c>
      <c r="E47" s="76" t="s">
        <v>0</v>
      </c>
      <c r="F47" s="61">
        <v>1</v>
      </c>
      <c r="G47" s="62">
        <v>140590</v>
      </c>
      <c r="H47" s="77">
        <v>1</v>
      </c>
      <c r="I47" s="64">
        <v>1</v>
      </c>
      <c r="J47" s="65">
        <f t="shared" si="1"/>
        <v>141000</v>
      </c>
      <c r="K47" s="45">
        <f t="shared" si="0"/>
        <v>141000</v>
      </c>
      <c r="L47" s="46"/>
      <c r="M47" s="66"/>
      <c r="N47" s="67">
        <f t="shared" si="2"/>
        <v>141000</v>
      </c>
    </row>
    <row r="48" spans="1:14" s="7" customFormat="1" ht="36" customHeight="1">
      <c r="A48" s="42"/>
      <c r="B48" s="42"/>
      <c r="C48" s="58" t="s">
        <v>125</v>
      </c>
      <c r="D48" s="59" t="s">
        <v>32</v>
      </c>
      <c r="E48" s="60" t="s">
        <v>0</v>
      </c>
      <c r="F48" s="61">
        <v>1</v>
      </c>
      <c r="G48" s="62">
        <v>374920</v>
      </c>
      <c r="H48" s="77">
        <v>1</v>
      </c>
      <c r="I48" s="64">
        <v>1</v>
      </c>
      <c r="J48" s="65">
        <f>ROUND(F48*G48*H48*I48,-3)</f>
        <v>375000</v>
      </c>
      <c r="K48" s="45">
        <f t="shared" si="0"/>
        <v>375000</v>
      </c>
      <c r="L48" s="46"/>
      <c r="M48" s="66"/>
      <c r="N48" s="67">
        <f t="shared" si="2"/>
        <v>375000</v>
      </c>
    </row>
    <row r="49" spans="1:14" s="7" customFormat="1" ht="28.5" customHeight="1">
      <c r="A49" s="42"/>
      <c r="B49" s="42"/>
      <c r="C49" s="58" t="s">
        <v>147</v>
      </c>
      <c r="D49" s="85" t="s">
        <v>31</v>
      </c>
      <c r="E49" s="106" t="s">
        <v>0</v>
      </c>
      <c r="F49" s="61">
        <v>1</v>
      </c>
      <c r="G49" s="62">
        <v>1065100</v>
      </c>
      <c r="H49" s="77">
        <v>1</v>
      </c>
      <c r="I49" s="112">
        <v>1</v>
      </c>
      <c r="J49" s="65">
        <f>ROUND(F49*G49*H49*I49,-3)</f>
        <v>1065000</v>
      </c>
      <c r="K49" s="45">
        <f t="shared" si="0"/>
        <v>1065000</v>
      </c>
      <c r="L49" s="46"/>
      <c r="N49" s="67">
        <f t="shared" si="2"/>
        <v>1065000</v>
      </c>
    </row>
    <row r="50" spans="1:14" s="7" customFormat="1" ht="28.5" customHeight="1">
      <c r="A50" s="42"/>
      <c r="B50" s="42"/>
      <c r="C50" s="58" t="s">
        <v>148</v>
      </c>
      <c r="D50" s="85" t="s">
        <v>33</v>
      </c>
      <c r="E50" s="106" t="s">
        <v>0</v>
      </c>
      <c r="F50" s="61">
        <v>1</v>
      </c>
      <c r="G50" s="62">
        <v>8300</v>
      </c>
      <c r="H50" s="77">
        <v>1</v>
      </c>
      <c r="I50" s="112">
        <v>1</v>
      </c>
      <c r="J50" s="65">
        <f>ROUND(F50*G50*H50*I50,-3)</f>
        <v>8000</v>
      </c>
      <c r="K50" s="45">
        <f t="shared" si="0"/>
        <v>8000</v>
      </c>
      <c r="L50" s="46"/>
      <c r="N50" s="67">
        <f t="shared" si="2"/>
        <v>8000</v>
      </c>
    </row>
    <row r="51" spans="1:14" s="7" customFormat="1" ht="24.75" customHeight="1">
      <c r="A51" s="42"/>
      <c r="B51" s="42"/>
      <c r="C51" s="58" t="s">
        <v>149</v>
      </c>
      <c r="D51" s="85" t="s">
        <v>108</v>
      </c>
      <c r="E51" s="106" t="s">
        <v>0</v>
      </c>
      <c r="F51" s="61">
        <v>2</v>
      </c>
      <c r="G51" s="62">
        <v>13630</v>
      </c>
      <c r="H51" s="77">
        <v>1</v>
      </c>
      <c r="I51" s="112">
        <v>1</v>
      </c>
      <c r="J51" s="65">
        <f>ROUND(F51*G51*H51*I51,-3)</f>
        <v>27000</v>
      </c>
      <c r="K51" s="45">
        <f t="shared" si="0"/>
        <v>27000</v>
      </c>
      <c r="L51" s="46"/>
      <c r="N51" s="67">
        <f t="shared" si="2"/>
        <v>27000</v>
      </c>
    </row>
    <row r="52" spans="1:16" s="7" customFormat="1" ht="30" customHeight="1">
      <c r="A52" s="42"/>
      <c r="B52" s="42"/>
      <c r="C52" s="68" t="s">
        <v>150</v>
      </c>
      <c r="D52" s="59" t="s">
        <v>21</v>
      </c>
      <c r="E52" s="78" t="s">
        <v>120</v>
      </c>
      <c r="F52" s="61">
        <f>1.5*2*2</f>
        <v>6</v>
      </c>
      <c r="G52" s="62">
        <v>905000</v>
      </c>
      <c r="H52" s="77">
        <v>1</v>
      </c>
      <c r="I52" s="64">
        <v>1.148</v>
      </c>
      <c r="J52" s="65">
        <f>ROUND(F52*G52*H52*I52,-3)</f>
        <v>6234000</v>
      </c>
      <c r="K52" s="45">
        <f t="shared" si="0"/>
        <v>6234000</v>
      </c>
      <c r="L52" s="46"/>
      <c r="M52" s="66"/>
      <c r="N52" s="67"/>
      <c r="P52" s="11"/>
    </row>
    <row r="53" spans="1:14" s="126" customFormat="1" ht="36.75" customHeight="1">
      <c r="A53" s="119">
        <v>40</v>
      </c>
      <c r="B53" s="119">
        <v>37</v>
      </c>
      <c r="C53" s="264" t="s">
        <v>151</v>
      </c>
      <c r="D53" s="264"/>
      <c r="E53" s="264"/>
      <c r="F53" s="264"/>
      <c r="G53" s="264"/>
      <c r="H53" s="264"/>
      <c r="I53" s="120"/>
      <c r="J53" s="121">
        <f>SUM(J54:J58)</f>
        <v>321438000</v>
      </c>
      <c r="K53" s="122">
        <f t="shared" si="0"/>
        <v>0</v>
      </c>
      <c r="L53" s="123" t="s">
        <v>191</v>
      </c>
      <c r="N53" s="125"/>
    </row>
    <row r="54" spans="1:14" s="57" customFormat="1" ht="82.5" customHeight="1">
      <c r="A54" s="49"/>
      <c r="B54" s="49"/>
      <c r="C54" s="50" t="s">
        <v>94</v>
      </c>
      <c r="D54" s="51" t="s">
        <v>95</v>
      </c>
      <c r="E54" s="52" t="s">
        <v>96</v>
      </c>
      <c r="F54" s="53">
        <v>2.3</v>
      </c>
      <c r="G54" s="265" t="s">
        <v>97</v>
      </c>
      <c r="H54" s="266"/>
      <c r="I54" s="267"/>
      <c r="J54" s="54"/>
      <c r="K54" s="45">
        <v>0</v>
      </c>
      <c r="L54" s="92"/>
      <c r="M54" s="55" t="e">
        <f>ROUND(#REF!*G54*I54*F54,-3)</f>
        <v>#REF!</v>
      </c>
      <c r="N54" s="56" t="s">
        <v>99</v>
      </c>
    </row>
    <row r="55" spans="1:14" s="7" customFormat="1" ht="110.25">
      <c r="A55" s="42"/>
      <c r="B55" s="42"/>
      <c r="C55" s="113" t="s">
        <v>152</v>
      </c>
      <c r="D55" s="59" t="s">
        <v>153</v>
      </c>
      <c r="E55" s="78" t="s">
        <v>121</v>
      </c>
      <c r="F55" s="61">
        <f>2.96*11.25+8*2.96</f>
        <v>56.98</v>
      </c>
      <c r="G55" s="62">
        <v>5089000</v>
      </c>
      <c r="H55" s="77">
        <v>0.8</v>
      </c>
      <c r="I55" s="64">
        <v>1.148</v>
      </c>
      <c r="J55" s="65">
        <f>ROUND(F55*G55*H55*I55,-3)</f>
        <v>266310000</v>
      </c>
      <c r="K55" s="45">
        <f>ROUND(F55*G55*H55*I55,-3)</f>
        <v>266310000</v>
      </c>
      <c r="L55" s="46"/>
      <c r="M55" s="66"/>
      <c r="N55" s="67">
        <f>ROUND(F55*G55*H55*I55,-3)</f>
        <v>266310000</v>
      </c>
    </row>
    <row r="56" spans="1:16" s="7" customFormat="1" ht="37.5" customHeight="1">
      <c r="A56" s="42"/>
      <c r="B56" s="42"/>
      <c r="C56" s="68" t="s">
        <v>154</v>
      </c>
      <c r="D56" s="85" t="s">
        <v>19</v>
      </c>
      <c r="E56" s="60" t="s">
        <v>17</v>
      </c>
      <c r="F56" s="61">
        <f>4.5*1.4+0.6*0.6</f>
        <v>6.66</v>
      </c>
      <c r="G56" s="102">
        <v>339000</v>
      </c>
      <c r="H56" s="77">
        <v>0.8</v>
      </c>
      <c r="I56" s="64">
        <v>1.148</v>
      </c>
      <c r="J56" s="65">
        <f>ROUND(F56*G56*H56*I56,-3)</f>
        <v>2074000</v>
      </c>
      <c r="K56" s="45">
        <f>ROUND(F56*G56*H56*I56,-3)</f>
        <v>2074000</v>
      </c>
      <c r="L56" s="46"/>
      <c r="M56" s="66"/>
      <c r="N56" s="67"/>
      <c r="P56" s="11"/>
    </row>
    <row r="57" spans="1:16" s="101" customFormat="1" ht="93.75" customHeight="1">
      <c r="A57" s="42"/>
      <c r="B57" s="42"/>
      <c r="C57" s="93" t="s">
        <v>155</v>
      </c>
      <c r="D57" s="94" t="s">
        <v>123</v>
      </c>
      <c r="E57" s="95" t="s">
        <v>17</v>
      </c>
      <c r="F57" s="96">
        <f>1.4*2.96+3.17*1.96</f>
        <v>10.357199999999999</v>
      </c>
      <c r="G57" s="62">
        <v>5089000</v>
      </c>
      <c r="H57" s="77">
        <v>0.8</v>
      </c>
      <c r="I57" s="64">
        <v>1.148</v>
      </c>
      <c r="J57" s="97">
        <f>ROUND(F57*G57*H57*I57,-3)</f>
        <v>48407000</v>
      </c>
      <c r="K57" s="45">
        <f>ROUND(F57*G57*H57*I57,-3)</f>
        <v>48407000</v>
      </c>
      <c r="L57" s="46"/>
      <c r="M57" s="87">
        <f>J57-K57</f>
        <v>0</v>
      </c>
      <c r="N57" s="98"/>
      <c r="O57" s="99"/>
      <c r="P57" s="100"/>
    </row>
    <row r="58" spans="1:14" s="7" customFormat="1" ht="50.25" customHeight="1">
      <c r="A58" s="42"/>
      <c r="B58" s="42"/>
      <c r="C58" s="58" t="s">
        <v>156</v>
      </c>
      <c r="D58" s="59" t="s">
        <v>25</v>
      </c>
      <c r="E58" s="60" t="s">
        <v>17</v>
      </c>
      <c r="F58" s="64">
        <f>2.68*8</f>
        <v>21.44</v>
      </c>
      <c r="G58" s="86">
        <v>236000</v>
      </c>
      <c r="H58" s="77">
        <v>0.8</v>
      </c>
      <c r="I58" s="64">
        <v>1.148</v>
      </c>
      <c r="J58" s="54">
        <f>ROUND(F58*G58*H58*I58,-3)</f>
        <v>4647000</v>
      </c>
      <c r="K58" s="45">
        <f>ROUND(F58*G58*H58*I58,-3)</f>
        <v>4647000</v>
      </c>
      <c r="L58" s="46"/>
      <c r="M58" s="66"/>
      <c r="N58" s="67">
        <f>ROUND(F58*G58*H58*I58,-3)</f>
        <v>4647000</v>
      </c>
    </row>
    <row r="59" spans="1:14" s="126" customFormat="1" ht="34.5" customHeight="1">
      <c r="A59" s="119">
        <v>23</v>
      </c>
      <c r="B59" s="119">
        <v>22</v>
      </c>
      <c r="C59" s="264" t="s">
        <v>93</v>
      </c>
      <c r="D59" s="264"/>
      <c r="E59" s="264"/>
      <c r="F59" s="264"/>
      <c r="G59" s="264"/>
      <c r="H59" s="264"/>
      <c r="I59" s="120"/>
      <c r="J59" s="121">
        <f>SUM(J61:J75)</f>
        <v>26322000</v>
      </c>
      <c r="K59" s="122">
        <f>ROUND(F59*G59*H59*I59,-3)</f>
        <v>0</v>
      </c>
      <c r="L59" s="123" t="s">
        <v>192</v>
      </c>
      <c r="M59" s="124"/>
      <c r="N59" s="125"/>
    </row>
    <row r="60" spans="1:14" s="57" customFormat="1" ht="82.5" customHeight="1">
      <c r="A60" s="49"/>
      <c r="B60" s="49"/>
      <c r="C60" s="50" t="s">
        <v>94</v>
      </c>
      <c r="D60" s="51" t="s">
        <v>95</v>
      </c>
      <c r="E60" s="52" t="s">
        <v>96</v>
      </c>
      <c r="F60" s="53">
        <v>60.6</v>
      </c>
      <c r="G60" s="265" t="s">
        <v>97</v>
      </c>
      <c r="H60" s="266"/>
      <c r="I60" s="267"/>
      <c r="J60" s="54"/>
      <c r="K60" s="45">
        <v>0</v>
      </c>
      <c r="L60" s="46" t="s">
        <v>98</v>
      </c>
      <c r="M60" s="55" t="e">
        <f>ROUND(#REF!*G60*I60*F60,-3)</f>
        <v>#REF!</v>
      </c>
      <c r="N60" s="56" t="s">
        <v>99</v>
      </c>
    </row>
    <row r="61" spans="1:14" s="7" customFormat="1" ht="38.25">
      <c r="A61" s="42"/>
      <c r="B61" s="42"/>
      <c r="C61" s="58" t="s">
        <v>100</v>
      </c>
      <c r="D61" s="59" t="s">
        <v>27</v>
      </c>
      <c r="E61" s="60" t="s">
        <v>17</v>
      </c>
      <c r="F61" s="61">
        <f>2.6*1.9</f>
        <v>4.9399999999999995</v>
      </c>
      <c r="G61" s="62">
        <v>156000</v>
      </c>
      <c r="H61" s="63">
        <v>0.8</v>
      </c>
      <c r="I61" s="64">
        <v>1.148</v>
      </c>
      <c r="J61" s="65">
        <f aca="true" t="shared" si="3" ref="J61:J74">ROUND(F61*G61*H61*I61,-3)</f>
        <v>708000</v>
      </c>
      <c r="K61" s="45">
        <f aca="true" t="shared" si="4" ref="K61:K75">ROUND(F61*G61*H61*I61,-3)</f>
        <v>708000</v>
      </c>
      <c r="L61" s="46"/>
      <c r="M61" s="66"/>
      <c r="N61" s="67">
        <f>ROUND(F61*G61*H61*I61,-3)</f>
        <v>708000</v>
      </c>
    </row>
    <row r="62" spans="1:14" s="7" customFormat="1" ht="45" customHeight="1">
      <c r="A62" s="42"/>
      <c r="B62" s="42"/>
      <c r="C62" s="68" t="s">
        <v>101</v>
      </c>
      <c r="D62" s="69" t="s">
        <v>18</v>
      </c>
      <c r="E62" s="60" t="s">
        <v>17</v>
      </c>
      <c r="F62" s="61">
        <f>11.2*1</f>
        <v>11.2</v>
      </c>
      <c r="G62" s="62">
        <v>792000</v>
      </c>
      <c r="H62" s="63">
        <v>0.8</v>
      </c>
      <c r="I62" s="64">
        <v>1.148</v>
      </c>
      <c r="J62" s="65">
        <f t="shared" si="3"/>
        <v>8147000</v>
      </c>
      <c r="K62" s="45">
        <f t="shared" si="4"/>
        <v>8147000</v>
      </c>
      <c r="L62" s="46"/>
      <c r="M62" s="66"/>
      <c r="N62" s="67">
        <f>ROUND(F62*G62*H62*I62,-3)</f>
        <v>8147000</v>
      </c>
    </row>
    <row r="63" spans="1:14" s="7" customFormat="1" ht="45" customHeight="1">
      <c r="A63" s="42"/>
      <c r="B63" s="42"/>
      <c r="C63" s="70" t="s">
        <v>102</v>
      </c>
      <c r="D63" s="59" t="s">
        <v>103</v>
      </c>
      <c r="E63" s="71" t="s">
        <v>17</v>
      </c>
      <c r="F63" s="72">
        <f>(5.6+11.2)*0.9</f>
        <v>15.119999999999997</v>
      </c>
      <c r="G63" s="73">
        <v>11000</v>
      </c>
      <c r="H63" s="63">
        <v>0.8</v>
      </c>
      <c r="I63" s="74">
        <v>1.148</v>
      </c>
      <c r="J63" s="75">
        <f t="shared" si="3"/>
        <v>153000</v>
      </c>
      <c r="K63" s="45">
        <f t="shared" si="4"/>
        <v>153000</v>
      </c>
      <c r="L63" s="46" t="s">
        <v>104</v>
      </c>
      <c r="M63" s="66"/>
      <c r="N63" s="67"/>
    </row>
    <row r="64" spans="1:14" s="7" customFormat="1" ht="32.25" customHeight="1">
      <c r="A64" s="42"/>
      <c r="B64" s="42"/>
      <c r="C64" s="58" t="s">
        <v>105</v>
      </c>
      <c r="D64" s="59" t="s">
        <v>106</v>
      </c>
      <c r="E64" s="76" t="s">
        <v>0</v>
      </c>
      <c r="F64" s="61">
        <v>3</v>
      </c>
      <c r="G64" s="62">
        <v>2187720</v>
      </c>
      <c r="H64" s="77">
        <v>1</v>
      </c>
      <c r="I64" s="64">
        <v>1</v>
      </c>
      <c r="J64" s="65">
        <f t="shared" si="3"/>
        <v>6563000</v>
      </c>
      <c r="K64" s="45">
        <f t="shared" si="4"/>
        <v>6563000</v>
      </c>
      <c r="L64" s="46"/>
      <c r="M64" s="66"/>
      <c r="N64" s="67">
        <f aca="true" t="shared" si="5" ref="N64:N74">ROUND(F64*G64*H64*I64,-3)</f>
        <v>6563000</v>
      </c>
    </row>
    <row r="65" spans="1:14" s="83" customFormat="1" ht="42.75" customHeight="1">
      <c r="A65" s="42"/>
      <c r="B65" s="42"/>
      <c r="C65" s="68" t="s">
        <v>107</v>
      </c>
      <c r="D65" s="59" t="s">
        <v>108</v>
      </c>
      <c r="E65" s="78" t="s">
        <v>28</v>
      </c>
      <c r="F65" s="79">
        <v>1</v>
      </c>
      <c r="G65" s="62">
        <v>13630</v>
      </c>
      <c r="H65" s="80">
        <v>1</v>
      </c>
      <c r="I65" s="64">
        <v>1</v>
      </c>
      <c r="J65" s="65">
        <f t="shared" si="3"/>
        <v>14000</v>
      </c>
      <c r="K65" s="45">
        <f t="shared" si="4"/>
        <v>14000</v>
      </c>
      <c r="L65" s="46"/>
      <c r="M65" s="81"/>
      <c r="N65" s="82">
        <f t="shared" si="5"/>
        <v>14000</v>
      </c>
    </row>
    <row r="66" spans="1:14" s="7" customFormat="1" ht="35.25" customHeight="1">
      <c r="A66" s="42"/>
      <c r="B66" s="42"/>
      <c r="C66" s="84" t="s">
        <v>109</v>
      </c>
      <c r="D66" s="85" t="s">
        <v>110</v>
      </c>
      <c r="E66" s="60" t="s">
        <v>0</v>
      </c>
      <c r="F66" s="61">
        <v>2</v>
      </c>
      <c r="G66" s="62">
        <v>291840</v>
      </c>
      <c r="H66" s="77">
        <v>1</v>
      </c>
      <c r="I66" s="64">
        <v>1</v>
      </c>
      <c r="J66" s="65">
        <f t="shared" si="3"/>
        <v>584000</v>
      </c>
      <c r="K66" s="45">
        <f t="shared" si="4"/>
        <v>584000</v>
      </c>
      <c r="L66" s="46"/>
      <c r="M66" s="66"/>
      <c r="N66" s="67">
        <f t="shared" si="5"/>
        <v>584000</v>
      </c>
    </row>
    <row r="67" spans="1:14" s="7" customFormat="1" ht="32.25" customHeight="1">
      <c r="A67" s="42"/>
      <c r="B67" s="42"/>
      <c r="C67" s="58" t="s">
        <v>111</v>
      </c>
      <c r="D67" s="59" t="s">
        <v>30</v>
      </c>
      <c r="E67" s="76" t="s">
        <v>0</v>
      </c>
      <c r="F67" s="61">
        <v>1</v>
      </c>
      <c r="G67" s="62">
        <v>154440</v>
      </c>
      <c r="H67" s="77">
        <v>1</v>
      </c>
      <c r="I67" s="64">
        <v>1</v>
      </c>
      <c r="J67" s="65">
        <f t="shared" si="3"/>
        <v>154000</v>
      </c>
      <c r="K67" s="45">
        <f t="shared" si="4"/>
        <v>154000</v>
      </c>
      <c r="L67" s="46"/>
      <c r="M67" s="66"/>
      <c r="N67" s="67">
        <f t="shared" si="5"/>
        <v>154000</v>
      </c>
    </row>
    <row r="68" spans="1:14" s="83" customFormat="1" ht="42.75" customHeight="1">
      <c r="A68" s="42"/>
      <c r="B68" s="42"/>
      <c r="C68" s="68" t="s">
        <v>112</v>
      </c>
      <c r="D68" s="59" t="s">
        <v>32</v>
      </c>
      <c r="E68" s="78" t="s">
        <v>28</v>
      </c>
      <c r="F68" s="79">
        <v>1</v>
      </c>
      <c r="G68" s="62">
        <v>300360</v>
      </c>
      <c r="H68" s="80">
        <v>1</v>
      </c>
      <c r="I68" s="64">
        <v>1</v>
      </c>
      <c r="J68" s="65">
        <f t="shared" si="3"/>
        <v>300000</v>
      </c>
      <c r="K68" s="45">
        <f t="shared" si="4"/>
        <v>300000</v>
      </c>
      <c r="L68" s="46"/>
      <c r="M68" s="81"/>
      <c r="N68" s="82">
        <f t="shared" si="5"/>
        <v>300000</v>
      </c>
    </row>
    <row r="69" spans="1:14" s="7" customFormat="1" ht="35.25" customHeight="1">
      <c r="A69" s="42"/>
      <c r="B69" s="42"/>
      <c r="C69" s="84" t="s">
        <v>113</v>
      </c>
      <c r="D69" s="85" t="s">
        <v>35</v>
      </c>
      <c r="E69" s="60" t="s">
        <v>0</v>
      </c>
      <c r="F69" s="61">
        <v>1</v>
      </c>
      <c r="G69" s="62">
        <v>645450</v>
      </c>
      <c r="H69" s="77">
        <v>1</v>
      </c>
      <c r="I69" s="64">
        <v>1</v>
      </c>
      <c r="J69" s="65">
        <f t="shared" si="3"/>
        <v>645000</v>
      </c>
      <c r="K69" s="45">
        <f t="shared" si="4"/>
        <v>645000</v>
      </c>
      <c r="L69" s="46"/>
      <c r="M69" s="66"/>
      <c r="N69" s="67">
        <f t="shared" si="5"/>
        <v>645000</v>
      </c>
    </row>
    <row r="70" spans="1:14" s="7" customFormat="1" ht="35.25" customHeight="1">
      <c r="A70" s="42"/>
      <c r="B70" s="42"/>
      <c r="C70" s="84" t="s">
        <v>114</v>
      </c>
      <c r="D70" s="85" t="s">
        <v>29</v>
      </c>
      <c r="E70" s="60" t="s">
        <v>0</v>
      </c>
      <c r="F70" s="61">
        <v>106</v>
      </c>
      <c r="G70" s="62">
        <v>8200</v>
      </c>
      <c r="H70" s="77">
        <v>1</v>
      </c>
      <c r="I70" s="64">
        <v>1</v>
      </c>
      <c r="J70" s="65">
        <f t="shared" si="3"/>
        <v>869000</v>
      </c>
      <c r="K70" s="45">
        <f t="shared" si="4"/>
        <v>869000</v>
      </c>
      <c r="L70" s="46"/>
      <c r="M70" s="66"/>
      <c r="N70" s="67">
        <f t="shared" si="5"/>
        <v>869000</v>
      </c>
    </row>
    <row r="71" spans="1:14" s="7" customFormat="1" ht="32.25" customHeight="1">
      <c r="A71" s="42"/>
      <c r="B71" s="42"/>
      <c r="C71" s="58" t="s">
        <v>115</v>
      </c>
      <c r="D71" s="59" t="s">
        <v>36</v>
      </c>
      <c r="E71" s="76" t="s">
        <v>0</v>
      </c>
      <c r="F71" s="61">
        <v>5</v>
      </c>
      <c r="G71" s="62">
        <v>9670</v>
      </c>
      <c r="H71" s="77">
        <v>1</v>
      </c>
      <c r="I71" s="64">
        <v>1</v>
      </c>
      <c r="J71" s="65">
        <f t="shared" si="3"/>
        <v>48000</v>
      </c>
      <c r="K71" s="45">
        <f t="shared" si="4"/>
        <v>48000</v>
      </c>
      <c r="L71" s="46"/>
      <c r="M71" s="66"/>
      <c r="N71" s="67">
        <f t="shared" si="5"/>
        <v>48000</v>
      </c>
    </row>
    <row r="72" spans="1:14" s="83" customFormat="1" ht="42.75" customHeight="1">
      <c r="A72" s="42"/>
      <c r="B72" s="42"/>
      <c r="C72" s="68" t="s">
        <v>116</v>
      </c>
      <c r="D72" s="59" t="s">
        <v>34</v>
      </c>
      <c r="E72" s="78" t="s">
        <v>28</v>
      </c>
      <c r="F72" s="79">
        <v>4</v>
      </c>
      <c r="G72" s="62">
        <v>7030</v>
      </c>
      <c r="H72" s="80">
        <v>1</v>
      </c>
      <c r="I72" s="64">
        <v>1</v>
      </c>
      <c r="J72" s="65">
        <f t="shared" si="3"/>
        <v>28000</v>
      </c>
      <c r="K72" s="45">
        <f t="shared" si="4"/>
        <v>28000</v>
      </c>
      <c r="L72" s="46"/>
      <c r="M72" s="81"/>
      <c r="N72" s="82">
        <f t="shared" si="5"/>
        <v>28000</v>
      </c>
    </row>
    <row r="73" spans="1:14" s="7" customFormat="1" ht="35.25" customHeight="1">
      <c r="A73" s="42"/>
      <c r="B73" s="42"/>
      <c r="C73" s="84" t="s">
        <v>117</v>
      </c>
      <c r="D73" s="85" t="s">
        <v>31</v>
      </c>
      <c r="E73" s="60" t="s">
        <v>0</v>
      </c>
      <c r="F73" s="61">
        <v>1</v>
      </c>
      <c r="G73" s="62">
        <v>53260</v>
      </c>
      <c r="H73" s="77">
        <v>1</v>
      </c>
      <c r="I73" s="64">
        <v>1</v>
      </c>
      <c r="J73" s="65">
        <f t="shared" si="3"/>
        <v>53000</v>
      </c>
      <c r="K73" s="45">
        <f t="shared" si="4"/>
        <v>53000</v>
      </c>
      <c r="L73" s="46"/>
      <c r="M73" s="66"/>
      <c r="N73" s="67">
        <f t="shared" si="5"/>
        <v>53000</v>
      </c>
    </row>
    <row r="74" spans="1:14" s="7" customFormat="1" ht="35.25" customHeight="1">
      <c r="A74" s="42"/>
      <c r="B74" s="42"/>
      <c r="C74" s="84" t="s">
        <v>118</v>
      </c>
      <c r="D74" s="85" t="s">
        <v>31</v>
      </c>
      <c r="E74" s="60" t="s">
        <v>0</v>
      </c>
      <c r="F74" s="61">
        <v>2</v>
      </c>
      <c r="G74" s="62">
        <v>1065100</v>
      </c>
      <c r="H74" s="77">
        <v>1</v>
      </c>
      <c r="I74" s="64">
        <v>1</v>
      </c>
      <c r="J74" s="65">
        <f t="shared" si="3"/>
        <v>2130000</v>
      </c>
      <c r="K74" s="45">
        <f t="shared" si="4"/>
        <v>2130000</v>
      </c>
      <c r="L74" s="46"/>
      <c r="M74" s="66"/>
      <c r="N74" s="67">
        <f t="shared" si="5"/>
        <v>2130000</v>
      </c>
    </row>
    <row r="75" spans="1:16" s="7" customFormat="1" ht="30" customHeight="1">
      <c r="A75" s="42"/>
      <c r="B75" s="42"/>
      <c r="C75" s="68" t="s">
        <v>119</v>
      </c>
      <c r="D75" s="59" t="s">
        <v>21</v>
      </c>
      <c r="E75" s="78" t="s">
        <v>120</v>
      </c>
      <c r="F75" s="61">
        <f>2.3*1.55*2</f>
        <v>7.13</v>
      </c>
      <c r="G75" s="62">
        <v>905000</v>
      </c>
      <c r="H75" s="63">
        <v>0.8</v>
      </c>
      <c r="I75" s="64">
        <v>1.148</v>
      </c>
      <c r="J75" s="65">
        <f>ROUND(F75*G75*H75*I75,-3)</f>
        <v>5926000</v>
      </c>
      <c r="K75" s="45">
        <f t="shared" si="4"/>
        <v>5926000</v>
      </c>
      <c r="L75" s="46"/>
      <c r="M75" s="66"/>
      <c r="N75" s="67"/>
      <c r="P75" s="11"/>
    </row>
  </sheetData>
  <sheetProtection/>
  <autoFilter ref="B5:P12"/>
  <mergeCells count="19">
    <mergeCell ref="C34:I34"/>
    <mergeCell ref="C30:H30"/>
    <mergeCell ref="C59:H59"/>
    <mergeCell ref="G60:I60"/>
    <mergeCell ref="A12:J12"/>
    <mergeCell ref="C6:H6"/>
    <mergeCell ref="C11:I11"/>
    <mergeCell ref="A2:J2"/>
    <mergeCell ref="C53:H53"/>
    <mergeCell ref="G54:I54"/>
    <mergeCell ref="G32:I32"/>
    <mergeCell ref="C33:H33"/>
    <mergeCell ref="A1:J1"/>
    <mergeCell ref="D3:D4"/>
    <mergeCell ref="E3:E4"/>
    <mergeCell ref="F3:J3"/>
    <mergeCell ref="A3:A4"/>
    <mergeCell ref="B3:B4"/>
    <mergeCell ref="C3:C4"/>
  </mergeCells>
  <printOptions/>
  <pageMargins left="0" right="0" top="0.07874015748031496" bottom="0.11811023622047245" header="0.1968503937007874" footer="0.2362204724409449"/>
  <pageSetup horizontalDpi="600" verticalDpi="600" orientation="portrait"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M32"/>
  <sheetViews>
    <sheetView zoomScalePageLayoutView="0" workbookViewId="0" topLeftCell="A1">
      <selection activeCell="J31" sqref="J31"/>
    </sheetView>
  </sheetViews>
  <sheetFormatPr defaultColWidth="24.57421875" defaultRowHeight="15"/>
  <cols>
    <col min="1" max="1" width="4.421875" style="29" customWidth="1"/>
    <col min="2" max="2" width="5.8515625" style="30" customWidth="1"/>
    <col min="3" max="3" width="21.140625" style="31" customWidth="1"/>
    <col min="4" max="4" width="9.00390625" style="32" customWidth="1"/>
    <col min="5" max="5" width="7.8515625" style="33" customWidth="1"/>
    <col min="6" max="6" width="6.8515625" style="33" customWidth="1"/>
    <col min="7" max="7" width="9.421875" style="34" customWidth="1"/>
    <col min="8" max="8" width="20.140625" style="35" customWidth="1"/>
    <col min="9" max="9" width="23.421875" style="36" customWidth="1"/>
    <col min="10" max="10" width="11.7109375" style="34" customWidth="1"/>
    <col min="11" max="11" width="12.00390625" style="29" customWidth="1"/>
    <col min="12" max="16384" width="24.57421875" style="29" customWidth="1"/>
  </cols>
  <sheetData>
    <row r="1" spans="1:11" s="27" customFormat="1" ht="42" customHeight="1">
      <c r="A1" s="287" t="s">
        <v>226</v>
      </c>
      <c r="B1" s="288"/>
      <c r="C1" s="288"/>
      <c r="D1" s="288"/>
      <c r="E1" s="288"/>
      <c r="F1" s="288"/>
      <c r="G1" s="288"/>
      <c r="H1" s="288"/>
      <c r="I1" s="288"/>
      <c r="J1" s="288"/>
      <c r="K1" s="289"/>
    </row>
    <row r="2" spans="1:11" s="27" customFormat="1" ht="28.5" customHeight="1">
      <c r="A2" s="290" t="s">
        <v>157</v>
      </c>
      <c r="B2" s="291"/>
      <c r="C2" s="291"/>
      <c r="D2" s="291"/>
      <c r="E2" s="291"/>
      <c r="F2" s="291"/>
      <c r="G2" s="291"/>
      <c r="H2" s="291"/>
      <c r="I2" s="291"/>
      <c r="J2" s="291"/>
      <c r="K2" s="292"/>
    </row>
    <row r="3" spans="1:12" s="27" customFormat="1" ht="124.5" customHeight="1">
      <c r="A3" s="150" t="s">
        <v>44</v>
      </c>
      <c r="B3" s="151" t="s">
        <v>45</v>
      </c>
      <c r="C3" s="152" t="s">
        <v>46</v>
      </c>
      <c r="D3" s="153" t="s">
        <v>47</v>
      </c>
      <c r="E3" s="153" t="s">
        <v>48</v>
      </c>
      <c r="F3" s="154" t="s">
        <v>49</v>
      </c>
      <c r="G3" s="153" t="s">
        <v>50</v>
      </c>
      <c r="H3" s="153" t="s">
        <v>51</v>
      </c>
      <c r="I3" s="153" t="s">
        <v>229</v>
      </c>
      <c r="J3" s="154" t="s">
        <v>77</v>
      </c>
      <c r="K3" s="154" t="s">
        <v>52</v>
      </c>
      <c r="L3" s="208" t="s">
        <v>247</v>
      </c>
    </row>
    <row r="4" spans="1:11" s="27" customFormat="1" ht="148.5" customHeight="1">
      <c r="A4" s="150">
        <v>1</v>
      </c>
      <c r="B4" s="155">
        <v>1</v>
      </c>
      <c r="C4" s="115" t="s">
        <v>53</v>
      </c>
      <c r="D4" s="186">
        <v>417.8</v>
      </c>
      <c r="E4" s="156">
        <v>417.8</v>
      </c>
      <c r="F4" s="156">
        <v>0</v>
      </c>
      <c r="G4" s="157">
        <f>(6.2*6.9)+(5.5*13.1)</f>
        <v>114.83</v>
      </c>
      <c r="H4" s="39" t="s">
        <v>84</v>
      </c>
      <c r="I4" s="158" t="s">
        <v>76</v>
      </c>
      <c r="J4" s="117" t="s">
        <v>54</v>
      </c>
      <c r="K4" s="117" t="s">
        <v>183</v>
      </c>
    </row>
    <row r="5" spans="1:11" s="149" customFormat="1" ht="134.25" customHeight="1">
      <c r="A5" s="150">
        <v>2</v>
      </c>
      <c r="B5" s="114">
        <v>2</v>
      </c>
      <c r="C5" s="115" t="s">
        <v>74</v>
      </c>
      <c r="D5" s="159">
        <v>327.9</v>
      </c>
      <c r="E5" s="159">
        <v>327.9</v>
      </c>
      <c r="F5" s="39">
        <f>D5-E5</f>
        <v>0</v>
      </c>
      <c r="G5" s="117">
        <v>104.9</v>
      </c>
      <c r="H5" s="39" t="s">
        <v>85</v>
      </c>
      <c r="I5" s="158" t="s">
        <v>76</v>
      </c>
      <c r="J5" s="185" t="s">
        <v>54</v>
      </c>
      <c r="K5" s="117" t="s">
        <v>183</v>
      </c>
    </row>
    <row r="6" spans="1:11" s="116" customFormat="1" ht="228.75" customHeight="1">
      <c r="A6" s="150">
        <v>3</v>
      </c>
      <c r="B6" s="114">
        <v>2.1</v>
      </c>
      <c r="C6" s="115" t="s">
        <v>55</v>
      </c>
      <c r="D6" s="275" t="s">
        <v>159</v>
      </c>
      <c r="E6" s="275"/>
      <c r="F6" s="275"/>
      <c r="G6" s="117" t="s">
        <v>71</v>
      </c>
      <c r="H6" s="39" t="s">
        <v>78</v>
      </c>
      <c r="I6" s="118" t="s">
        <v>158</v>
      </c>
      <c r="J6" s="117" t="s">
        <v>65</v>
      </c>
      <c r="K6" s="185" t="s">
        <v>245</v>
      </c>
    </row>
    <row r="7" spans="1:12" ht="120.75" customHeight="1">
      <c r="A7" s="150">
        <v>4</v>
      </c>
      <c r="B7" s="114">
        <v>3</v>
      </c>
      <c r="C7" s="115" t="s">
        <v>73</v>
      </c>
      <c r="D7" s="159">
        <v>345.2</v>
      </c>
      <c r="E7" s="159">
        <v>345.2</v>
      </c>
      <c r="F7" s="159">
        <f>D7-E7</f>
        <v>0</v>
      </c>
      <c r="G7" s="117">
        <f>(5.9*7)+3.8*7.7</f>
        <v>70.56</v>
      </c>
      <c r="H7" s="39" t="s">
        <v>86</v>
      </c>
      <c r="I7" s="158" t="s">
        <v>76</v>
      </c>
      <c r="J7" s="185" t="s">
        <v>54</v>
      </c>
      <c r="K7" s="117" t="s">
        <v>183</v>
      </c>
      <c r="L7" s="207" t="s">
        <v>261</v>
      </c>
    </row>
    <row r="8" spans="1:12" s="193" customFormat="1" ht="134.25" customHeight="1">
      <c r="A8" s="187">
        <v>5</v>
      </c>
      <c r="B8" s="188">
        <v>3.1</v>
      </c>
      <c r="C8" s="189" t="s">
        <v>56</v>
      </c>
      <c r="D8" s="274" t="s">
        <v>162</v>
      </c>
      <c r="E8" s="274"/>
      <c r="F8" s="274"/>
      <c r="G8" s="190">
        <f>3.1*7.8</f>
        <v>24.18</v>
      </c>
      <c r="H8" s="191" t="s">
        <v>78</v>
      </c>
      <c r="I8" s="192" t="s">
        <v>179</v>
      </c>
      <c r="J8" s="190" t="s">
        <v>54</v>
      </c>
      <c r="K8" s="190" t="s">
        <v>184</v>
      </c>
      <c r="L8" s="205" t="s">
        <v>262</v>
      </c>
    </row>
    <row r="9" spans="1:11" ht="155.25" customHeight="1">
      <c r="A9" s="150">
        <v>6</v>
      </c>
      <c r="B9" s="114">
        <v>3.2</v>
      </c>
      <c r="C9" s="115" t="s">
        <v>57</v>
      </c>
      <c r="D9" s="281" t="s">
        <v>91</v>
      </c>
      <c r="E9" s="282"/>
      <c r="F9" s="283"/>
      <c r="G9" s="117" t="s">
        <v>71</v>
      </c>
      <c r="H9" s="277" t="s">
        <v>246</v>
      </c>
      <c r="I9" s="278"/>
      <c r="J9" s="117" t="s">
        <v>65</v>
      </c>
      <c r="K9" s="195" t="s">
        <v>245</v>
      </c>
    </row>
    <row r="10" spans="1:12" s="193" customFormat="1" ht="184.5" customHeight="1">
      <c r="A10" s="187">
        <v>7</v>
      </c>
      <c r="B10" s="188">
        <v>3.3</v>
      </c>
      <c r="C10" s="189" t="s">
        <v>58</v>
      </c>
      <c r="D10" s="293" t="s">
        <v>161</v>
      </c>
      <c r="E10" s="293"/>
      <c r="F10" s="293"/>
      <c r="G10" s="221" t="s">
        <v>71</v>
      </c>
      <c r="H10" s="191" t="s">
        <v>78</v>
      </c>
      <c r="I10" s="222" t="s">
        <v>160</v>
      </c>
      <c r="J10" s="221" t="s">
        <v>54</v>
      </c>
      <c r="K10" s="221" t="s">
        <v>184</v>
      </c>
      <c r="L10" s="205" t="s">
        <v>258</v>
      </c>
    </row>
    <row r="11" spans="1:12" s="193" customFormat="1" ht="164.25" customHeight="1">
      <c r="A11" s="187">
        <v>8</v>
      </c>
      <c r="B11" s="196">
        <v>3.4</v>
      </c>
      <c r="C11" s="189" t="s">
        <v>259</v>
      </c>
      <c r="D11" s="293" t="s">
        <v>164</v>
      </c>
      <c r="E11" s="293"/>
      <c r="F11" s="293"/>
      <c r="G11" s="190">
        <v>15.54</v>
      </c>
      <c r="H11" s="191" t="s">
        <v>78</v>
      </c>
      <c r="I11" s="192" t="s">
        <v>165</v>
      </c>
      <c r="J11" s="190" t="s">
        <v>54</v>
      </c>
      <c r="K11" s="190" t="s">
        <v>184</v>
      </c>
      <c r="L11" s="205" t="s">
        <v>260</v>
      </c>
    </row>
    <row r="12" spans="1:11" s="149" customFormat="1" ht="169.5" customHeight="1">
      <c r="A12" s="150">
        <v>9</v>
      </c>
      <c r="B12" s="114">
        <v>4</v>
      </c>
      <c r="C12" s="115" t="s">
        <v>59</v>
      </c>
      <c r="D12" s="159">
        <v>448.3</v>
      </c>
      <c r="E12" s="159">
        <v>448.3</v>
      </c>
      <c r="F12" s="159">
        <f>D12-E12</f>
        <v>0</v>
      </c>
      <c r="G12" s="117">
        <f>5.3*11</f>
        <v>58.3</v>
      </c>
      <c r="H12" s="39" t="s">
        <v>87</v>
      </c>
      <c r="I12" s="158" t="s">
        <v>76</v>
      </c>
      <c r="J12" s="185" t="s">
        <v>54</v>
      </c>
      <c r="K12" s="117" t="s">
        <v>183</v>
      </c>
    </row>
    <row r="13" spans="1:11" s="216" customFormat="1" ht="117" customHeight="1">
      <c r="A13" s="209">
        <v>10</v>
      </c>
      <c r="B13" s="210">
        <v>4.1</v>
      </c>
      <c r="C13" s="211" t="s">
        <v>61</v>
      </c>
      <c r="D13" s="276" t="s">
        <v>166</v>
      </c>
      <c r="E13" s="276"/>
      <c r="F13" s="276"/>
      <c r="G13" s="212">
        <f>3.15*5.15+3.3*3.7</f>
        <v>28.432499999999997</v>
      </c>
      <c r="H13" s="213" t="s">
        <v>78</v>
      </c>
      <c r="I13" s="214" t="s">
        <v>167</v>
      </c>
      <c r="J13" s="215" t="s">
        <v>54</v>
      </c>
      <c r="K13" s="215" t="s">
        <v>184</v>
      </c>
    </row>
    <row r="14" spans="1:11" s="216" customFormat="1" ht="126">
      <c r="A14" s="209">
        <v>11</v>
      </c>
      <c r="B14" s="210">
        <v>4.2</v>
      </c>
      <c r="C14" s="211" t="s">
        <v>62</v>
      </c>
      <c r="D14" s="276" t="s">
        <v>168</v>
      </c>
      <c r="E14" s="276"/>
      <c r="F14" s="276"/>
      <c r="G14" s="212">
        <f>3.3*9.8+4.4*4.6+5.4*4.6</f>
        <v>77.42</v>
      </c>
      <c r="H14" s="213" t="s">
        <v>78</v>
      </c>
      <c r="I14" s="214" t="s">
        <v>169</v>
      </c>
      <c r="J14" s="215" t="s">
        <v>54</v>
      </c>
      <c r="K14" s="215" t="s">
        <v>184</v>
      </c>
    </row>
    <row r="15" spans="1:11" s="216" customFormat="1" ht="120" customHeight="1">
      <c r="A15" s="209">
        <v>12</v>
      </c>
      <c r="B15" s="210">
        <v>4.3</v>
      </c>
      <c r="C15" s="211" t="s">
        <v>63</v>
      </c>
      <c r="D15" s="276" t="s">
        <v>170</v>
      </c>
      <c r="E15" s="276"/>
      <c r="F15" s="276"/>
      <c r="G15" s="212">
        <f>7.8*4+3.5*2.9+3*1.1</f>
        <v>44.65</v>
      </c>
      <c r="H15" s="213" t="s">
        <v>78</v>
      </c>
      <c r="I15" s="214" t="s">
        <v>171</v>
      </c>
      <c r="J15" s="215" t="s">
        <v>54</v>
      </c>
      <c r="K15" s="215" t="s">
        <v>184</v>
      </c>
    </row>
    <row r="16" spans="1:11" s="216" customFormat="1" ht="126">
      <c r="A16" s="209">
        <v>13</v>
      </c>
      <c r="B16" s="210">
        <v>4.4</v>
      </c>
      <c r="C16" s="211" t="s">
        <v>64</v>
      </c>
      <c r="D16" s="276" t="s">
        <v>172</v>
      </c>
      <c r="E16" s="276"/>
      <c r="F16" s="276"/>
      <c r="G16" s="212">
        <f>4.1*15.4+5.8*3.65</f>
        <v>84.30999999999999</v>
      </c>
      <c r="H16" s="213" t="s">
        <v>78</v>
      </c>
      <c r="I16" s="214" t="s">
        <v>163</v>
      </c>
      <c r="J16" s="215" t="s">
        <v>54</v>
      </c>
      <c r="K16" s="215" t="s">
        <v>184</v>
      </c>
    </row>
    <row r="17" spans="1:11" s="216" customFormat="1" ht="126">
      <c r="A17" s="209">
        <v>14</v>
      </c>
      <c r="B17" s="210">
        <v>4.5</v>
      </c>
      <c r="C17" s="211" t="s">
        <v>60</v>
      </c>
      <c r="D17" s="276" t="s">
        <v>173</v>
      </c>
      <c r="E17" s="276"/>
      <c r="F17" s="276"/>
      <c r="G17" s="212">
        <f>(10.7*3.2)+(6.3*4.35)</f>
        <v>61.644999999999996</v>
      </c>
      <c r="H17" s="213" t="s">
        <v>78</v>
      </c>
      <c r="I17" s="214" t="s">
        <v>174</v>
      </c>
      <c r="J17" s="215" t="s">
        <v>54</v>
      </c>
      <c r="K17" s="215" t="s">
        <v>184</v>
      </c>
    </row>
    <row r="18" spans="1:12" s="193" customFormat="1" ht="191.25" customHeight="1">
      <c r="A18" s="187">
        <v>15</v>
      </c>
      <c r="B18" s="188">
        <v>4.6</v>
      </c>
      <c r="C18" s="189" t="s">
        <v>264</v>
      </c>
      <c r="D18" s="279" t="s">
        <v>180</v>
      </c>
      <c r="E18" s="279"/>
      <c r="F18" s="279"/>
      <c r="G18" s="190" t="s">
        <v>71</v>
      </c>
      <c r="H18" s="191" t="s">
        <v>78</v>
      </c>
      <c r="I18" s="192" t="s">
        <v>175</v>
      </c>
      <c r="J18" s="190" t="s">
        <v>54</v>
      </c>
      <c r="K18" s="190" t="s">
        <v>184</v>
      </c>
      <c r="L18" s="205" t="s">
        <v>263</v>
      </c>
    </row>
    <row r="19" spans="1:12" s="193" customFormat="1" ht="258.75" customHeight="1">
      <c r="A19" s="187">
        <v>16</v>
      </c>
      <c r="B19" s="188">
        <v>4.7</v>
      </c>
      <c r="C19" s="217" t="s">
        <v>265</v>
      </c>
      <c r="D19" s="279" t="s">
        <v>230</v>
      </c>
      <c r="E19" s="279"/>
      <c r="F19" s="279"/>
      <c r="G19" s="197">
        <f>2.35*9.65</f>
        <v>22.677500000000002</v>
      </c>
      <c r="H19" s="191" t="s">
        <v>78</v>
      </c>
      <c r="I19" s="192" t="s">
        <v>231</v>
      </c>
      <c r="J19" s="190" t="s">
        <v>54</v>
      </c>
      <c r="K19" s="199" t="s">
        <v>248</v>
      </c>
      <c r="L19" s="198" t="s">
        <v>269</v>
      </c>
    </row>
    <row r="20" spans="1:11" s="149" customFormat="1" ht="138.75" customHeight="1">
      <c r="A20" s="150">
        <v>17</v>
      </c>
      <c r="B20" s="162">
        <v>5</v>
      </c>
      <c r="C20" s="115" t="s">
        <v>75</v>
      </c>
      <c r="D20" s="159">
        <v>149.4</v>
      </c>
      <c r="E20" s="159">
        <v>149.4</v>
      </c>
      <c r="F20" s="159">
        <f>D20-E20</f>
        <v>0</v>
      </c>
      <c r="G20" s="117">
        <f>5.2*10.25</f>
        <v>53.300000000000004</v>
      </c>
      <c r="H20" s="39" t="s">
        <v>249</v>
      </c>
      <c r="I20" s="158" t="s">
        <v>76</v>
      </c>
      <c r="J20" s="185" t="s">
        <v>54</v>
      </c>
      <c r="K20" s="117" t="s">
        <v>185</v>
      </c>
    </row>
    <row r="21" spans="1:12" s="193" customFormat="1" ht="267" customHeight="1">
      <c r="A21" s="187">
        <v>18</v>
      </c>
      <c r="B21" s="196">
        <v>5.1</v>
      </c>
      <c r="C21" s="189" t="s">
        <v>228</v>
      </c>
      <c r="D21" s="279" t="s">
        <v>80</v>
      </c>
      <c r="E21" s="279"/>
      <c r="F21" s="279"/>
      <c r="G21" s="197">
        <f>5.15*3.25</f>
        <v>16.7375</v>
      </c>
      <c r="H21" s="191" t="s">
        <v>78</v>
      </c>
      <c r="I21" s="192" t="s">
        <v>233</v>
      </c>
      <c r="J21" s="190" t="s">
        <v>54</v>
      </c>
      <c r="K21" s="190" t="s">
        <v>186</v>
      </c>
      <c r="L21" s="205" t="s">
        <v>266</v>
      </c>
    </row>
    <row r="22" spans="1:11" s="193" customFormat="1" ht="255.75" customHeight="1">
      <c r="A22" s="187">
        <v>19</v>
      </c>
      <c r="B22" s="196">
        <v>5.2</v>
      </c>
      <c r="C22" s="200" t="s">
        <v>251</v>
      </c>
      <c r="D22" s="284"/>
      <c r="E22" s="285"/>
      <c r="F22" s="286"/>
      <c r="G22" s="190">
        <v>62.54</v>
      </c>
      <c r="H22" s="201" t="s">
        <v>250</v>
      </c>
      <c r="I22" s="192" t="s">
        <v>234</v>
      </c>
      <c r="J22" s="190" t="s">
        <v>54</v>
      </c>
      <c r="K22" s="190" t="s">
        <v>186</v>
      </c>
    </row>
    <row r="23" spans="1:11" ht="120" customHeight="1">
      <c r="A23" s="150">
        <v>20</v>
      </c>
      <c r="B23" s="160">
        <v>5.3</v>
      </c>
      <c r="C23" s="115" t="s">
        <v>81</v>
      </c>
      <c r="D23" s="281" t="s">
        <v>82</v>
      </c>
      <c r="E23" s="282"/>
      <c r="F23" s="283"/>
      <c r="G23" s="117" t="s">
        <v>71</v>
      </c>
      <c r="H23" s="277" t="s">
        <v>83</v>
      </c>
      <c r="I23" s="278"/>
      <c r="J23" s="117" t="s">
        <v>65</v>
      </c>
      <c r="K23" s="117"/>
    </row>
    <row r="24" spans="1:12" s="193" customFormat="1" ht="141.75" customHeight="1">
      <c r="A24" s="187">
        <v>21</v>
      </c>
      <c r="B24" s="196">
        <v>6</v>
      </c>
      <c r="C24" s="189" t="s">
        <v>79</v>
      </c>
      <c r="D24" s="202">
        <v>224.3</v>
      </c>
      <c r="E24" s="202">
        <v>224.3</v>
      </c>
      <c r="F24" s="202">
        <f>D24-E24</f>
        <v>0</v>
      </c>
      <c r="G24" s="190">
        <f>9.8*5+3.1*7+5.3*3.5</f>
        <v>89.25</v>
      </c>
      <c r="H24" s="191" t="s">
        <v>88</v>
      </c>
      <c r="I24" s="203" t="s">
        <v>72</v>
      </c>
      <c r="J24" s="190" t="s">
        <v>232</v>
      </c>
      <c r="K24" s="190" t="s">
        <v>185</v>
      </c>
      <c r="L24" s="219" t="s">
        <v>267</v>
      </c>
    </row>
    <row r="25" spans="1:13" ht="129.75" customHeight="1">
      <c r="A25" s="150">
        <v>22</v>
      </c>
      <c r="B25" s="160">
        <v>7</v>
      </c>
      <c r="C25" s="115" t="s">
        <v>256</v>
      </c>
      <c r="D25" s="159">
        <v>339.5</v>
      </c>
      <c r="E25" s="159">
        <v>339.5</v>
      </c>
      <c r="F25" s="159">
        <f>D25-E25</f>
        <v>0</v>
      </c>
      <c r="G25" s="161">
        <f>6.65*7.25+7.7*5</f>
        <v>86.7125</v>
      </c>
      <c r="H25" s="39" t="s">
        <v>90</v>
      </c>
      <c r="I25" s="165"/>
      <c r="J25" s="164" t="s">
        <v>187</v>
      </c>
      <c r="K25" s="117" t="s">
        <v>188</v>
      </c>
      <c r="L25" s="207" t="s">
        <v>257</v>
      </c>
      <c r="M25" s="34"/>
    </row>
    <row r="26" spans="1:12" s="193" customFormat="1" ht="145.5" customHeight="1">
      <c r="A26" s="187">
        <v>23</v>
      </c>
      <c r="B26" s="196">
        <v>7.1</v>
      </c>
      <c r="C26" s="189" t="s">
        <v>255</v>
      </c>
      <c r="D26" s="279" t="s">
        <v>176</v>
      </c>
      <c r="E26" s="279"/>
      <c r="F26" s="279"/>
      <c r="G26" s="190" t="s">
        <v>71</v>
      </c>
      <c r="H26" s="191" t="s">
        <v>78</v>
      </c>
      <c r="I26" s="192" t="s">
        <v>177</v>
      </c>
      <c r="J26" s="190" t="s">
        <v>232</v>
      </c>
      <c r="K26" s="190" t="s">
        <v>184</v>
      </c>
      <c r="L26" s="205" t="s">
        <v>257</v>
      </c>
    </row>
    <row r="27" spans="1:12" s="193" customFormat="1" ht="266.25" customHeight="1">
      <c r="A27" s="187">
        <v>24</v>
      </c>
      <c r="B27" s="196">
        <v>7.2</v>
      </c>
      <c r="C27" s="189" t="s">
        <v>67</v>
      </c>
      <c r="D27" s="279" t="s">
        <v>189</v>
      </c>
      <c r="E27" s="279"/>
      <c r="F27" s="279"/>
      <c r="G27" s="190">
        <f>10.6*4</f>
        <v>42.4</v>
      </c>
      <c r="H27" s="191" t="s">
        <v>78</v>
      </c>
      <c r="I27" s="192" t="s">
        <v>252</v>
      </c>
      <c r="J27" s="190" t="s">
        <v>54</v>
      </c>
      <c r="K27" s="199" t="s">
        <v>253</v>
      </c>
      <c r="L27" s="205" t="s">
        <v>268</v>
      </c>
    </row>
    <row r="28" spans="1:12" s="193" customFormat="1" ht="131.25" customHeight="1">
      <c r="A28" s="187">
        <v>25</v>
      </c>
      <c r="B28" s="196">
        <v>7.3</v>
      </c>
      <c r="C28" s="189" t="s">
        <v>68</v>
      </c>
      <c r="D28" s="279" t="s">
        <v>178</v>
      </c>
      <c r="E28" s="279"/>
      <c r="F28" s="279"/>
      <c r="G28" s="190">
        <f>7.1*7.7</f>
        <v>54.67</v>
      </c>
      <c r="H28" s="206" t="s">
        <v>78</v>
      </c>
      <c r="I28" s="192" t="s">
        <v>179</v>
      </c>
      <c r="J28" s="190" t="s">
        <v>54</v>
      </c>
      <c r="K28" s="190" t="s">
        <v>184</v>
      </c>
      <c r="L28" s="204" t="s">
        <v>254</v>
      </c>
    </row>
    <row r="29" spans="1:11" s="149" customFormat="1" ht="129" customHeight="1">
      <c r="A29" s="150">
        <v>26</v>
      </c>
      <c r="B29" s="160">
        <v>8</v>
      </c>
      <c r="C29" s="115" t="s">
        <v>69</v>
      </c>
      <c r="D29" s="159">
        <v>145.7</v>
      </c>
      <c r="E29" s="159">
        <v>145.7</v>
      </c>
      <c r="F29" s="159">
        <f>D29-E29</f>
        <v>0</v>
      </c>
      <c r="G29" s="117">
        <f>6.3*2.4+6.3*5.4+7.6*6.1</f>
        <v>95.5</v>
      </c>
      <c r="H29" s="39" t="s">
        <v>89</v>
      </c>
      <c r="I29" s="158" t="s">
        <v>76</v>
      </c>
      <c r="J29" s="117" t="s">
        <v>54</v>
      </c>
      <c r="K29" s="117" t="s">
        <v>183</v>
      </c>
    </row>
    <row r="30" spans="1:11" s="216" customFormat="1" ht="139.5" customHeight="1">
      <c r="A30" s="209">
        <v>27</v>
      </c>
      <c r="B30" s="220">
        <v>8.1</v>
      </c>
      <c r="C30" s="211" t="s">
        <v>70</v>
      </c>
      <c r="D30" s="276" t="s">
        <v>182</v>
      </c>
      <c r="E30" s="276"/>
      <c r="F30" s="276"/>
      <c r="G30" s="215" t="s">
        <v>71</v>
      </c>
      <c r="H30" s="213" t="s">
        <v>78</v>
      </c>
      <c r="I30" s="218" t="s">
        <v>181</v>
      </c>
      <c r="J30" s="215" t="s">
        <v>54</v>
      </c>
      <c r="K30" s="215" t="s">
        <v>184</v>
      </c>
    </row>
    <row r="31" spans="1:11" ht="107.25" customHeight="1">
      <c r="A31" s="150">
        <v>28</v>
      </c>
      <c r="B31" s="166">
        <v>9</v>
      </c>
      <c r="C31" s="115" t="s">
        <v>66</v>
      </c>
      <c r="D31" s="159">
        <v>199.2</v>
      </c>
      <c r="E31" s="159">
        <v>199.2</v>
      </c>
      <c r="F31" s="159">
        <f>D31-E31</f>
        <v>0</v>
      </c>
      <c r="G31" s="161">
        <f>4.8*13.68+1.3*2.28</f>
        <v>68.628</v>
      </c>
      <c r="H31" s="39" t="s">
        <v>92</v>
      </c>
      <c r="I31" s="158" t="s">
        <v>76</v>
      </c>
      <c r="J31" s="117" t="s">
        <v>54</v>
      </c>
      <c r="K31" s="194" t="s">
        <v>185</v>
      </c>
    </row>
    <row r="32" spans="1:11" ht="41.25" customHeight="1">
      <c r="A32" s="280" t="s">
        <v>190</v>
      </c>
      <c r="B32" s="280"/>
      <c r="C32" s="280"/>
      <c r="D32" s="280"/>
      <c r="E32" s="280"/>
      <c r="F32" s="280"/>
      <c r="G32" s="280"/>
      <c r="H32" s="280"/>
      <c r="I32" s="280"/>
      <c r="J32" s="280"/>
      <c r="K32" s="280"/>
    </row>
  </sheetData>
  <sheetProtection/>
  <mergeCells count="24">
    <mergeCell ref="A1:K1"/>
    <mergeCell ref="A2:K2"/>
    <mergeCell ref="D11:F11"/>
    <mergeCell ref="D9:F9"/>
    <mergeCell ref="D10:F10"/>
    <mergeCell ref="H23:I23"/>
    <mergeCell ref="D15:F15"/>
    <mergeCell ref="D16:F16"/>
    <mergeCell ref="D21:F21"/>
    <mergeCell ref="D19:F19"/>
    <mergeCell ref="A32:K32"/>
    <mergeCell ref="D30:F30"/>
    <mergeCell ref="D23:F23"/>
    <mergeCell ref="D27:F27"/>
    <mergeCell ref="D22:F22"/>
    <mergeCell ref="D26:F26"/>
    <mergeCell ref="D8:F8"/>
    <mergeCell ref="D6:F6"/>
    <mergeCell ref="D14:F14"/>
    <mergeCell ref="D13:F13"/>
    <mergeCell ref="H9:I9"/>
    <mergeCell ref="D28:F28"/>
    <mergeCell ref="D18:F18"/>
    <mergeCell ref="D17:F17"/>
  </mergeCells>
  <printOptions/>
  <pageMargins left="0.07874015748031496" right="0.07874015748031496" top="0.2362204724409449" bottom="0.1968503937007874" header="0.15748031496062992" footer="0.15748031496062992"/>
  <pageSetup horizontalDpi="600" verticalDpi="600" orientation="landscape" paperSize="9" r:id="rId1"/>
  <headerFooter>
    <oddFooter>&amp;CPage &amp;P</oddFooter>
  </headerFooter>
</worksheet>
</file>

<file path=xl/worksheets/sheet3.xml><?xml version="1.0" encoding="utf-8"?>
<worksheet xmlns="http://schemas.openxmlformats.org/spreadsheetml/2006/main" xmlns:r="http://schemas.openxmlformats.org/officeDocument/2006/relationships">
  <sheetPr codeName="Sheet2"/>
  <dimension ref="A1:L37"/>
  <sheetViews>
    <sheetView zoomScale="90" zoomScaleNormal="90" zoomScalePageLayoutView="0" workbookViewId="0" topLeftCell="A1">
      <selection activeCell="J33" sqref="J33"/>
    </sheetView>
  </sheetViews>
  <sheetFormatPr defaultColWidth="9.140625" defaultRowHeight="15"/>
  <cols>
    <col min="1" max="1" width="5.7109375" style="127" customWidth="1"/>
    <col min="2" max="2" width="4.28125" style="127" customWidth="1"/>
    <col min="3" max="3" width="19.140625" style="127" customWidth="1"/>
    <col min="4" max="4" width="6.8515625" style="143" customWidth="1"/>
    <col min="5" max="5" width="6.8515625" style="144" customWidth="1"/>
    <col min="6" max="7" width="7.00390625" style="143" customWidth="1"/>
    <col min="8" max="8" width="10.57421875" style="145" customWidth="1"/>
    <col min="9" max="9" width="8.57421875" style="146" customWidth="1"/>
    <col min="10" max="10" width="8.00390625" style="127" customWidth="1"/>
    <col min="11" max="11" width="7.00390625" style="127" customWidth="1"/>
    <col min="12" max="16384" width="9.140625" style="128" customWidth="1"/>
  </cols>
  <sheetData>
    <row r="1" spans="1:11" s="7" customFormat="1" ht="82.5" customHeight="1">
      <c r="A1" s="259" t="s">
        <v>227</v>
      </c>
      <c r="B1" s="259"/>
      <c r="C1" s="259"/>
      <c r="D1" s="259"/>
      <c r="E1" s="259"/>
      <c r="F1" s="259"/>
      <c r="G1" s="259"/>
      <c r="H1" s="259"/>
      <c r="I1" s="259"/>
      <c r="J1" s="259"/>
      <c r="K1" s="259"/>
    </row>
    <row r="2" spans="1:11" s="7" customFormat="1" ht="46.5" customHeight="1">
      <c r="A2" s="271" t="s">
        <v>193</v>
      </c>
      <c r="B2" s="271"/>
      <c r="C2" s="271"/>
      <c r="D2" s="271"/>
      <c r="E2" s="271"/>
      <c r="F2" s="271"/>
      <c r="G2" s="271"/>
      <c r="H2" s="271"/>
      <c r="I2" s="271"/>
      <c r="J2" s="271"/>
      <c r="K2" s="271"/>
    </row>
    <row r="3" spans="1:11" s="129" customFormat="1" ht="16.5" customHeight="1">
      <c r="A3" s="131" t="s">
        <v>44</v>
      </c>
      <c r="B3" s="147"/>
      <c r="C3" s="297" t="s">
        <v>194</v>
      </c>
      <c r="D3" s="298" t="s">
        <v>195</v>
      </c>
      <c r="E3" s="298"/>
      <c r="F3" s="298" t="s">
        <v>196</v>
      </c>
      <c r="G3" s="298"/>
      <c r="H3" s="298"/>
      <c r="I3" s="298"/>
      <c r="J3" s="298"/>
      <c r="K3" s="297" t="s">
        <v>197</v>
      </c>
    </row>
    <row r="4" spans="1:11" s="129" customFormat="1" ht="33" customHeight="1">
      <c r="A4" s="131" t="s">
        <v>198</v>
      </c>
      <c r="B4" s="147" t="s">
        <v>199</v>
      </c>
      <c r="C4" s="297"/>
      <c r="D4" s="131" t="s">
        <v>200</v>
      </c>
      <c r="E4" s="131" t="s">
        <v>201</v>
      </c>
      <c r="F4" s="131" t="s">
        <v>200</v>
      </c>
      <c r="G4" s="131" t="s">
        <v>202</v>
      </c>
      <c r="H4" s="130" t="s">
        <v>203</v>
      </c>
      <c r="I4" s="130" t="s">
        <v>204</v>
      </c>
      <c r="J4" s="130" t="s">
        <v>205</v>
      </c>
      <c r="K4" s="297"/>
    </row>
    <row r="5" spans="1:11" s="136" customFormat="1" ht="91.5" customHeight="1">
      <c r="A5" s="133">
        <v>1</v>
      </c>
      <c r="B5" s="148">
        <v>6</v>
      </c>
      <c r="C5" s="132" t="s">
        <v>240</v>
      </c>
      <c r="D5" s="133">
        <v>19</v>
      </c>
      <c r="E5" s="133">
        <v>9</v>
      </c>
      <c r="F5" s="133">
        <v>13</v>
      </c>
      <c r="G5" s="133">
        <v>1</v>
      </c>
      <c r="H5" s="28">
        <v>319.8</v>
      </c>
      <c r="I5" s="28">
        <v>114.19</v>
      </c>
      <c r="J5" s="28">
        <f aca="true" t="shared" si="0" ref="J5:J19">H5-I5</f>
        <v>205.61</v>
      </c>
      <c r="K5" s="134" t="s">
        <v>206</v>
      </c>
    </row>
    <row r="6" spans="1:11" s="136" customFormat="1" ht="83.25" customHeight="1">
      <c r="A6" s="133">
        <v>2</v>
      </c>
      <c r="B6" s="148">
        <v>10</v>
      </c>
      <c r="C6" s="132" t="s">
        <v>242</v>
      </c>
      <c r="D6" s="133">
        <v>24</v>
      </c>
      <c r="E6" s="133">
        <v>19</v>
      </c>
      <c r="F6" s="133">
        <v>18</v>
      </c>
      <c r="G6" s="133">
        <v>1</v>
      </c>
      <c r="H6" s="28">
        <v>324.8</v>
      </c>
      <c r="I6" s="28">
        <v>144.43</v>
      </c>
      <c r="J6" s="28">
        <f t="shared" si="0"/>
        <v>180.37</v>
      </c>
      <c r="K6" s="134" t="s">
        <v>206</v>
      </c>
    </row>
    <row r="7" spans="1:11" s="136" customFormat="1" ht="90" customHeight="1">
      <c r="A7" s="133">
        <v>3</v>
      </c>
      <c r="B7" s="148">
        <v>13</v>
      </c>
      <c r="C7" s="137" t="s">
        <v>243</v>
      </c>
      <c r="D7" s="133">
        <v>18</v>
      </c>
      <c r="E7" s="133">
        <v>19</v>
      </c>
      <c r="F7" s="133">
        <v>22</v>
      </c>
      <c r="G7" s="133">
        <v>1</v>
      </c>
      <c r="H7" s="28">
        <v>364.2</v>
      </c>
      <c r="I7" s="28">
        <v>88.8</v>
      </c>
      <c r="J7" s="28">
        <f t="shared" si="0"/>
        <v>275.4</v>
      </c>
      <c r="K7" s="134" t="s">
        <v>206</v>
      </c>
    </row>
    <row r="8" spans="1:11" s="136" customFormat="1" ht="90" customHeight="1">
      <c r="A8" s="133">
        <v>4</v>
      </c>
      <c r="B8" s="148">
        <v>14</v>
      </c>
      <c r="C8" s="137" t="s">
        <v>244</v>
      </c>
      <c r="D8" s="133">
        <v>19</v>
      </c>
      <c r="E8" s="133">
        <v>19</v>
      </c>
      <c r="F8" s="133">
        <v>23</v>
      </c>
      <c r="G8" s="133">
        <v>1</v>
      </c>
      <c r="H8" s="28">
        <v>563.1</v>
      </c>
      <c r="I8" s="28">
        <v>175.2</v>
      </c>
      <c r="J8" s="28">
        <f t="shared" si="0"/>
        <v>387.90000000000003</v>
      </c>
      <c r="K8" s="134" t="s">
        <v>207</v>
      </c>
    </row>
    <row r="9" spans="1:11" s="136" customFormat="1" ht="104.25" customHeight="1">
      <c r="A9" s="133">
        <v>5</v>
      </c>
      <c r="B9" s="148">
        <v>18</v>
      </c>
      <c r="C9" s="132" t="s">
        <v>239</v>
      </c>
      <c r="D9" s="133">
        <v>22</v>
      </c>
      <c r="E9" s="133">
        <v>19</v>
      </c>
      <c r="F9" s="133">
        <v>27</v>
      </c>
      <c r="G9" s="133">
        <v>1</v>
      </c>
      <c r="H9" s="28">
        <v>221.7</v>
      </c>
      <c r="I9" s="28">
        <v>30.2</v>
      </c>
      <c r="J9" s="28">
        <f t="shared" si="0"/>
        <v>191.5</v>
      </c>
      <c r="K9" s="134" t="s">
        <v>206</v>
      </c>
    </row>
    <row r="10" spans="1:11" s="136" customFormat="1" ht="72" customHeight="1">
      <c r="A10" s="133">
        <v>6</v>
      </c>
      <c r="B10" s="148">
        <v>23</v>
      </c>
      <c r="C10" s="132" t="s">
        <v>208</v>
      </c>
      <c r="D10" s="133">
        <v>15</v>
      </c>
      <c r="E10" s="133">
        <v>19</v>
      </c>
      <c r="F10" s="133">
        <v>33</v>
      </c>
      <c r="G10" s="133">
        <v>1</v>
      </c>
      <c r="H10" s="28">
        <v>260.3</v>
      </c>
      <c r="I10" s="28">
        <v>57.2</v>
      </c>
      <c r="J10" s="28">
        <f t="shared" si="0"/>
        <v>203.10000000000002</v>
      </c>
      <c r="K10" s="134" t="s">
        <v>206</v>
      </c>
    </row>
    <row r="11" spans="1:11" s="136" customFormat="1" ht="86.25" customHeight="1">
      <c r="A11" s="133">
        <v>7</v>
      </c>
      <c r="B11" s="148">
        <v>24</v>
      </c>
      <c r="C11" s="132" t="s">
        <v>209</v>
      </c>
      <c r="D11" s="133">
        <v>17</v>
      </c>
      <c r="E11" s="133">
        <v>19</v>
      </c>
      <c r="F11" s="133">
        <v>34</v>
      </c>
      <c r="G11" s="133">
        <v>1</v>
      </c>
      <c r="H11" s="28">
        <v>92.8</v>
      </c>
      <c r="I11" s="28">
        <v>9.11</v>
      </c>
      <c r="J11" s="28">
        <f t="shared" si="0"/>
        <v>83.69</v>
      </c>
      <c r="K11" s="134" t="s">
        <v>206</v>
      </c>
    </row>
    <row r="12" spans="1:11" s="136" customFormat="1" ht="78.75">
      <c r="A12" s="133">
        <v>8</v>
      </c>
      <c r="B12" s="148">
        <v>29</v>
      </c>
      <c r="C12" s="137" t="s">
        <v>210</v>
      </c>
      <c r="D12" s="133">
        <v>104</v>
      </c>
      <c r="E12" s="133">
        <v>19</v>
      </c>
      <c r="F12" s="133">
        <v>40</v>
      </c>
      <c r="G12" s="133">
        <v>1</v>
      </c>
      <c r="H12" s="28">
        <v>71.9</v>
      </c>
      <c r="I12" s="28">
        <v>18.27</v>
      </c>
      <c r="J12" s="28">
        <f t="shared" si="0"/>
        <v>53.63000000000001</v>
      </c>
      <c r="K12" s="134" t="s">
        <v>206</v>
      </c>
    </row>
    <row r="13" spans="1:11" s="136" customFormat="1" ht="69" customHeight="1">
      <c r="A13" s="133">
        <v>9</v>
      </c>
      <c r="B13" s="148">
        <v>30</v>
      </c>
      <c r="C13" s="139" t="s">
        <v>211</v>
      </c>
      <c r="D13" s="133">
        <v>105</v>
      </c>
      <c r="E13" s="133">
        <v>19</v>
      </c>
      <c r="F13" s="133">
        <v>41</v>
      </c>
      <c r="G13" s="133">
        <v>1</v>
      </c>
      <c r="H13" s="28">
        <v>92</v>
      </c>
      <c r="I13" s="28">
        <v>36.6</v>
      </c>
      <c r="J13" s="28">
        <f t="shared" si="0"/>
        <v>55.4</v>
      </c>
      <c r="K13" s="134" t="s">
        <v>206</v>
      </c>
    </row>
    <row r="14" spans="1:11" s="136" customFormat="1" ht="84" customHeight="1">
      <c r="A14" s="133">
        <v>10</v>
      </c>
      <c r="B14" s="148">
        <v>33</v>
      </c>
      <c r="C14" s="132" t="s">
        <v>212</v>
      </c>
      <c r="D14" s="133">
        <v>108</v>
      </c>
      <c r="E14" s="133">
        <v>19</v>
      </c>
      <c r="F14" s="133">
        <v>44</v>
      </c>
      <c r="G14" s="133">
        <v>1</v>
      </c>
      <c r="H14" s="28">
        <v>85.3</v>
      </c>
      <c r="I14" s="28">
        <v>32.18</v>
      </c>
      <c r="J14" s="28">
        <f t="shared" si="0"/>
        <v>53.12</v>
      </c>
      <c r="K14" s="134" t="s">
        <v>206</v>
      </c>
    </row>
    <row r="15" spans="1:11" s="136" customFormat="1" ht="63">
      <c r="A15" s="133">
        <v>11</v>
      </c>
      <c r="B15" s="148">
        <v>34</v>
      </c>
      <c r="C15" s="132" t="s">
        <v>213</v>
      </c>
      <c r="D15" s="133">
        <v>109</v>
      </c>
      <c r="E15" s="133">
        <v>19</v>
      </c>
      <c r="F15" s="133">
        <v>45</v>
      </c>
      <c r="G15" s="133">
        <v>1</v>
      </c>
      <c r="H15" s="28">
        <v>88.2</v>
      </c>
      <c r="I15" s="28">
        <v>32.21</v>
      </c>
      <c r="J15" s="28">
        <f t="shared" si="0"/>
        <v>55.99</v>
      </c>
      <c r="K15" s="134" t="s">
        <v>206</v>
      </c>
    </row>
    <row r="16" spans="1:11" s="138" customFormat="1" ht="100.5" customHeight="1">
      <c r="A16" s="133">
        <v>12</v>
      </c>
      <c r="B16" s="148">
        <v>38</v>
      </c>
      <c r="C16" s="132" t="s">
        <v>214</v>
      </c>
      <c r="D16" s="133">
        <v>50</v>
      </c>
      <c r="E16" s="133">
        <v>19</v>
      </c>
      <c r="F16" s="133">
        <v>50</v>
      </c>
      <c r="G16" s="133">
        <v>1</v>
      </c>
      <c r="H16" s="28">
        <v>258.3</v>
      </c>
      <c r="I16" s="28">
        <v>14.1</v>
      </c>
      <c r="J16" s="28">
        <f t="shared" si="0"/>
        <v>244.20000000000002</v>
      </c>
      <c r="K16" s="135" t="s">
        <v>206</v>
      </c>
    </row>
    <row r="17" spans="1:11" s="136" customFormat="1" ht="100.5" customHeight="1">
      <c r="A17" s="133">
        <v>13</v>
      </c>
      <c r="B17" s="148">
        <v>40</v>
      </c>
      <c r="C17" s="132" t="s">
        <v>215</v>
      </c>
      <c r="D17" s="133">
        <v>103</v>
      </c>
      <c r="E17" s="133">
        <v>19</v>
      </c>
      <c r="F17" s="133">
        <v>55</v>
      </c>
      <c r="G17" s="133">
        <v>1</v>
      </c>
      <c r="H17" s="28">
        <v>177.2</v>
      </c>
      <c r="I17" s="28">
        <v>40.71</v>
      </c>
      <c r="J17" s="28">
        <f t="shared" si="0"/>
        <v>136.48999999999998</v>
      </c>
      <c r="K17" s="134" t="s">
        <v>206</v>
      </c>
    </row>
    <row r="18" spans="1:11" s="136" customFormat="1" ht="86.25" customHeight="1">
      <c r="A18" s="133">
        <v>14</v>
      </c>
      <c r="B18" s="148">
        <v>46</v>
      </c>
      <c r="C18" s="132" t="s">
        <v>216</v>
      </c>
      <c r="D18" s="133">
        <v>13</v>
      </c>
      <c r="E18" s="133">
        <v>18</v>
      </c>
      <c r="F18" s="133">
        <v>61</v>
      </c>
      <c r="G18" s="133">
        <v>1</v>
      </c>
      <c r="H18" s="28">
        <v>1368.9</v>
      </c>
      <c r="I18" s="28">
        <v>230.12</v>
      </c>
      <c r="J18" s="28">
        <f t="shared" si="0"/>
        <v>1138.7800000000002</v>
      </c>
      <c r="K18" s="134" t="s">
        <v>206</v>
      </c>
    </row>
    <row r="19" spans="1:11" s="136" customFormat="1" ht="96.75" customHeight="1">
      <c r="A19" s="133">
        <v>15</v>
      </c>
      <c r="B19" s="148">
        <v>47</v>
      </c>
      <c r="C19" s="132" t="s">
        <v>217</v>
      </c>
      <c r="D19" s="133">
        <v>78</v>
      </c>
      <c r="E19" s="133">
        <v>18</v>
      </c>
      <c r="F19" s="133">
        <v>62</v>
      </c>
      <c r="G19" s="133">
        <v>1</v>
      </c>
      <c r="H19" s="28">
        <v>692.8</v>
      </c>
      <c r="I19" s="28">
        <v>96.93</v>
      </c>
      <c r="J19" s="28">
        <f t="shared" si="0"/>
        <v>595.8699999999999</v>
      </c>
      <c r="K19" s="134" t="s">
        <v>206</v>
      </c>
    </row>
    <row r="20" spans="1:11" s="141" customFormat="1" ht="138" customHeight="1">
      <c r="A20" s="133">
        <v>17</v>
      </c>
      <c r="B20" s="140">
        <v>88</v>
      </c>
      <c r="C20" s="132" t="s">
        <v>218</v>
      </c>
      <c r="D20" s="140">
        <v>3</v>
      </c>
      <c r="E20" s="140">
        <v>27</v>
      </c>
      <c r="F20" s="140">
        <v>5</v>
      </c>
      <c r="G20" s="140">
        <v>3</v>
      </c>
      <c r="H20" s="28">
        <v>417.8</v>
      </c>
      <c r="I20" s="28">
        <v>417.8</v>
      </c>
      <c r="J20" s="28">
        <f aca="true" t="shared" si="1" ref="J20:J27">H20-I20</f>
        <v>0</v>
      </c>
      <c r="K20" s="132" t="s">
        <v>206</v>
      </c>
    </row>
    <row r="21" spans="1:11" s="142" customFormat="1" ht="154.5" customHeight="1">
      <c r="A21" s="133">
        <v>18</v>
      </c>
      <c r="B21" s="140">
        <v>90</v>
      </c>
      <c r="C21" s="132" t="s">
        <v>238</v>
      </c>
      <c r="D21" s="140">
        <v>14</v>
      </c>
      <c r="E21" s="140">
        <v>26</v>
      </c>
      <c r="F21" s="140">
        <v>8</v>
      </c>
      <c r="G21" s="140">
        <v>3</v>
      </c>
      <c r="H21" s="28">
        <v>327.9</v>
      </c>
      <c r="I21" s="28">
        <v>327.9</v>
      </c>
      <c r="J21" s="28">
        <f t="shared" si="1"/>
        <v>0</v>
      </c>
      <c r="K21" s="132" t="s">
        <v>206</v>
      </c>
    </row>
    <row r="22" spans="1:11" s="170" customFormat="1" ht="133.5" customHeight="1">
      <c r="A22" s="167">
        <v>19</v>
      </c>
      <c r="B22" s="168">
        <v>92</v>
      </c>
      <c r="C22" s="169" t="s">
        <v>237</v>
      </c>
      <c r="D22" s="168">
        <v>16</v>
      </c>
      <c r="E22" s="168">
        <v>26</v>
      </c>
      <c r="F22" s="168" t="s">
        <v>219</v>
      </c>
      <c r="G22" s="168">
        <v>3</v>
      </c>
      <c r="H22" s="159">
        <f>176.7+168.5</f>
        <v>345.2</v>
      </c>
      <c r="I22" s="159">
        <f>176.7+168.5</f>
        <v>345.2</v>
      </c>
      <c r="J22" s="159">
        <f t="shared" si="1"/>
        <v>0</v>
      </c>
      <c r="K22" s="169" t="s">
        <v>206</v>
      </c>
    </row>
    <row r="23" spans="1:11" s="170" customFormat="1" ht="130.5" customHeight="1">
      <c r="A23" s="167">
        <v>20</v>
      </c>
      <c r="B23" s="168">
        <v>94</v>
      </c>
      <c r="C23" s="169" t="s">
        <v>236</v>
      </c>
      <c r="D23" s="168">
        <v>123</v>
      </c>
      <c r="E23" s="168">
        <v>26</v>
      </c>
      <c r="F23" s="168" t="s">
        <v>220</v>
      </c>
      <c r="G23" s="168">
        <v>3</v>
      </c>
      <c r="H23" s="159">
        <f>321.3+127</f>
        <v>448.3</v>
      </c>
      <c r="I23" s="159">
        <f>321.3+127</f>
        <v>448.3</v>
      </c>
      <c r="J23" s="159">
        <f t="shared" si="1"/>
        <v>0</v>
      </c>
      <c r="K23" s="169" t="s">
        <v>206</v>
      </c>
    </row>
    <row r="24" spans="1:12" s="173" customFormat="1" ht="150.75" customHeight="1">
      <c r="A24" s="167">
        <v>21</v>
      </c>
      <c r="B24" s="168">
        <v>95</v>
      </c>
      <c r="C24" s="171" t="s">
        <v>235</v>
      </c>
      <c r="D24" s="168">
        <v>183</v>
      </c>
      <c r="E24" s="168">
        <v>27</v>
      </c>
      <c r="F24" s="168" t="s">
        <v>221</v>
      </c>
      <c r="G24" s="168">
        <v>3</v>
      </c>
      <c r="H24" s="163">
        <f>68.9+80.5</f>
        <v>149.4</v>
      </c>
      <c r="I24" s="163">
        <f>68.9+80.5</f>
        <v>149.4</v>
      </c>
      <c r="J24" s="163">
        <f t="shared" si="1"/>
        <v>0</v>
      </c>
      <c r="K24" s="171" t="s">
        <v>206</v>
      </c>
      <c r="L24" s="172"/>
    </row>
    <row r="25" spans="1:12" s="172" customFormat="1" ht="77.25" customHeight="1">
      <c r="A25" s="167">
        <v>22</v>
      </c>
      <c r="B25" s="168">
        <v>97</v>
      </c>
      <c r="C25" s="174" t="s">
        <v>222</v>
      </c>
      <c r="D25" s="168">
        <v>184</v>
      </c>
      <c r="E25" s="168">
        <v>27</v>
      </c>
      <c r="F25" s="168">
        <v>16</v>
      </c>
      <c r="G25" s="168">
        <v>3</v>
      </c>
      <c r="H25" s="163">
        <v>199.2</v>
      </c>
      <c r="I25" s="163">
        <v>199.2</v>
      </c>
      <c r="J25" s="163">
        <f t="shared" si="1"/>
        <v>0</v>
      </c>
      <c r="K25" s="171" t="s">
        <v>206</v>
      </c>
      <c r="L25" s="173"/>
    </row>
    <row r="26" spans="1:11" s="173" customFormat="1" ht="153.75" customHeight="1">
      <c r="A26" s="167">
        <v>23</v>
      </c>
      <c r="B26" s="168">
        <v>98</v>
      </c>
      <c r="C26" s="174" t="s">
        <v>223</v>
      </c>
      <c r="D26" s="168">
        <v>185</v>
      </c>
      <c r="E26" s="168">
        <v>27</v>
      </c>
      <c r="F26" s="168">
        <v>17</v>
      </c>
      <c r="G26" s="168">
        <v>3</v>
      </c>
      <c r="H26" s="163">
        <v>224.3</v>
      </c>
      <c r="I26" s="163">
        <v>224.3</v>
      </c>
      <c r="J26" s="163">
        <f t="shared" si="1"/>
        <v>0</v>
      </c>
      <c r="K26" s="171" t="s">
        <v>206</v>
      </c>
    </row>
    <row r="27" spans="1:11" s="170" customFormat="1" ht="102" customHeight="1">
      <c r="A27" s="167">
        <v>24</v>
      </c>
      <c r="B27" s="168">
        <v>99</v>
      </c>
      <c r="C27" s="175" t="s">
        <v>241</v>
      </c>
      <c r="D27" s="168">
        <v>4</v>
      </c>
      <c r="E27" s="168">
        <v>27</v>
      </c>
      <c r="F27" s="168">
        <v>18</v>
      </c>
      <c r="G27" s="168">
        <v>3</v>
      </c>
      <c r="H27" s="159">
        <v>339.5</v>
      </c>
      <c r="I27" s="159">
        <v>339.5</v>
      </c>
      <c r="J27" s="159">
        <f t="shared" si="1"/>
        <v>0</v>
      </c>
      <c r="K27" s="169" t="s">
        <v>206</v>
      </c>
    </row>
    <row r="28" spans="1:11" s="170" customFormat="1" ht="141" customHeight="1">
      <c r="A28" s="167">
        <v>25</v>
      </c>
      <c r="B28" s="168">
        <v>122</v>
      </c>
      <c r="C28" s="174" t="s">
        <v>224</v>
      </c>
      <c r="D28" s="168">
        <v>13</v>
      </c>
      <c r="E28" s="168">
        <v>26</v>
      </c>
      <c r="F28" s="168">
        <v>24</v>
      </c>
      <c r="G28" s="168">
        <v>3</v>
      </c>
      <c r="H28" s="159">
        <v>145.7</v>
      </c>
      <c r="I28" s="159">
        <v>145.7</v>
      </c>
      <c r="J28" s="159">
        <f>H28-I28</f>
        <v>0</v>
      </c>
      <c r="K28" s="169" t="s">
        <v>206</v>
      </c>
    </row>
    <row r="29" spans="1:12" s="178" customFormat="1" ht="15.75" customHeight="1" thickBot="1">
      <c r="A29" s="294" t="s">
        <v>225</v>
      </c>
      <c r="B29" s="295"/>
      <c r="C29" s="295"/>
      <c r="D29" s="295"/>
      <c r="E29" s="295"/>
      <c r="F29" s="296"/>
      <c r="G29" s="176"/>
      <c r="H29" s="177">
        <f>SUM(H5:H28)</f>
        <v>7578.599999999999</v>
      </c>
      <c r="I29" s="177">
        <f>SUM(I5:I28)</f>
        <v>3717.55</v>
      </c>
      <c r="J29" s="177">
        <f>H29-I29</f>
        <v>3861.0499999999993</v>
      </c>
      <c r="K29" s="176"/>
      <c r="L29" s="170"/>
    </row>
    <row r="30" spans="1:11" s="184" customFormat="1" ht="15">
      <c r="A30" s="179"/>
      <c r="B30" s="179"/>
      <c r="C30" s="179"/>
      <c r="D30" s="180"/>
      <c r="E30" s="181"/>
      <c r="F30" s="180"/>
      <c r="G30" s="180"/>
      <c r="H30" s="182"/>
      <c r="I30" s="183"/>
      <c r="J30" s="179"/>
      <c r="K30" s="179"/>
    </row>
    <row r="31" spans="1:11" s="184" customFormat="1" ht="15">
      <c r="A31" s="179"/>
      <c r="B31" s="179"/>
      <c r="C31" s="179"/>
      <c r="D31" s="180"/>
      <c r="E31" s="181"/>
      <c r="F31" s="180"/>
      <c r="G31" s="180"/>
      <c r="H31" s="182"/>
      <c r="I31" s="183"/>
      <c r="J31" s="179"/>
      <c r="K31" s="179"/>
    </row>
    <row r="32" spans="1:11" s="184" customFormat="1" ht="15">
      <c r="A32" s="179"/>
      <c r="B32" s="179"/>
      <c r="C32" s="179"/>
      <c r="D32" s="180"/>
      <c r="E32" s="181"/>
      <c r="F32" s="180"/>
      <c r="G32" s="180"/>
      <c r="H32" s="182"/>
      <c r="I32" s="183"/>
      <c r="J32" s="179"/>
      <c r="K32" s="179"/>
    </row>
    <row r="33" spans="1:11" s="184" customFormat="1" ht="15">
      <c r="A33" s="179"/>
      <c r="B33" s="179"/>
      <c r="C33" s="179"/>
      <c r="D33" s="180"/>
      <c r="E33" s="181"/>
      <c r="F33" s="180"/>
      <c r="G33" s="180"/>
      <c r="H33" s="182"/>
      <c r="I33" s="183"/>
      <c r="J33" s="179"/>
      <c r="K33" s="179"/>
    </row>
    <row r="34" spans="1:11" s="184" customFormat="1" ht="15">
      <c r="A34" s="179"/>
      <c r="B34" s="179"/>
      <c r="C34" s="179"/>
      <c r="D34" s="180"/>
      <c r="E34" s="181"/>
      <c r="F34" s="180"/>
      <c r="G34" s="180"/>
      <c r="H34" s="182"/>
      <c r="I34" s="183"/>
      <c r="J34" s="179"/>
      <c r="K34" s="179"/>
    </row>
    <row r="35" spans="1:11" s="184" customFormat="1" ht="15">
      <c r="A35" s="179"/>
      <c r="B35" s="179"/>
      <c r="C35" s="179"/>
      <c r="D35" s="180"/>
      <c r="E35" s="181"/>
      <c r="F35" s="180"/>
      <c r="G35" s="180"/>
      <c r="H35" s="182"/>
      <c r="I35" s="183"/>
      <c r="J35" s="179"/>
      <c r="K35" s="179"/>
    </row>
    <row r="36" spans="1:11" s="184" customFormat="1" ht="15">
      <c r="A36" s="179"/>
      <c r="B36" s="179"/>
      <c r="C36" s="179"/>
      <c r="D36" s="180"/>
      <c r="E36" s="181"/>
      <c r="F36" s="180"/>
      <c r="G36" s="180"/>
      <c r="H36" s="182"/>
      <c r="I36" s="183"/>
      <c r="J36" s="179"/>
      <c r="K36" s="179"/>
    </row>
    <row r="37" spans="1:11" s="184" customFormat="1" ht="15">
      <c r="A37" s="179"/>
      <c r="B37" s="179"/>
      <c r="C37" s="179"/>
      <c r="D37" s="180"/>
      <c r="E37" s="181"/>
      <c r="F37" s="180"/>
      <c r="G37" s="180"/>
      <c r="H37" s="182"/>
      <c r="I37" s="183"/>
      <c r="J37" s="179"/>
      <c r="K37" s="179"/>
    </row>
  </sheetData>
  <sheetProtection/>
  <mergeCells count="7">
    <mergeCell ref="A1:K1"/>
    <mergeCell ref="A2:K2"/>
    <mergeCell ref="A29:F29"/>
    <mergeCell ref="C3:C4"/>
    <mergeCell ref="D3:E3"/>
    <mergeCell ref="F3:J3"/>
    <mergeCell ref="K3:K4"/>
  </mergeCells>
  <printOptions/>
  <pageMargins left="0.17" right="0.17" top="0.17" bottom="0.27" header="0.17"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 Vu</dc:creator>
  <cp:keywords/>
  <dc:description/>
  <cp:lastModifiedBy>TanLap</cp:lastModifiedBy>
  <cp:lastPrinted>2023-11-28T01:45:35Z</cp:lastPrinted>
  <dcterms:created xsi:type="dcterms:W3CDTF">2016-07-27T01:19:03Z</dcterms:created>
  <dcterms:modified xsi:type="dcterms:W3CDTF">2023-11-30T08:17:03Z</dcterms:modified>
  <cp:category/>
  <cp:version/>
  <cp:contentType/>
  <cp:contentStatus/>
</cp:coreProperties>
</file>