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10" windowWidth="20115" windowHeight="9150" firstSheet="1" activeTab="1"/>
  </bookViews>
  <sheets>
    <sheet name="foxz" sheetId="4" state="veryHidden" r:id="rId1"/>
    <sheet name="dot 3" sheetId="5" r:id="rId2"/>
    <sheet name="dot 3 (2)" sheetId="7" r:id="rId3"/>
    <sheet name="thu hoi dat" sheetId="6" r:id="rId4"/>
  </sheets>
  <definedNames>
    <definedName name="_xlnm._FilterDatabase" localSheetId="1" hidden="1">'dot 3'!$B$5:$P$172</definedName>
    <definedName name="_xlnm._FilterDatabase" localSheetId="2" hidden="1">'dot 3 (2)'!$B$5:$P$292</definedName>
    <definedName name="_xlnm._FilterDatabase" localSheetId="3" hidden="1">'thu hoi dat'!$A$4:$L$16</definedName>
    <definedName name="_xlnm.Print_Area" localSheetId="1">'dot 3'!#REF!</definedName>
    <definedName name="_xlnm.Print_Area" localSheetId="2">'dot 3 (2)'!#REF!</definedName>
    <definedName name="_xlnm.Print_Titles" localSheetId="1">'dot 3'!$3:$4</definedName>
    <definedName name="_xlnm.Print_Titles" localSheetId="2">'dot 3 (2)'!$3:$4</definedName>
  </definedNames>
  <calcPr calcId="144525"/>
</workbook>
</file>

<file path=xl/calcChain.xml><?xml version="1.0" encoding="utf-8"?>
<calcChain xmlns="http://schemas.openxmlformats.org/spreadsheetml/2006/main">
  <c r="K292" i="7" l="1"/>
  <c r="N291" i="7"/>
  <c r="F290" i="7"/>
  <c r="K289" i="7"/>
  <c r="J289" i="7"/>
  <c r="J288" i="7"/>
  <c r="F288" i="7"/>
  <c r="K288" i="7" s="1"/>
  <c r="J287" i="7"/>
  <c r="F287" i="7"/>
  <c r="F286" i="7"/>
  <c r="F285" i="7"/>
  <c r="J285" i="7" s="1"/>
  <c r="J284" i="7"/>
  <c r="F284" i="7"/>
  <c r="K284" i="7" s="1"/>
  <c r="K283" i="7"/>
  <c r="F283" i="7"/>
  <c r="J283" i="7" s="1"/>
  <c r="K282" i="7"/>
  <c r="J281" i="7"/>
  <c r="F281" i="7"/>
  <c r="K281" i="7" s="1"/>
  <c r="J280" i="7"/>
  <c r="J279" i="7" s="1"/>
  <c r="F280" i="7"/>
  <c r="K279" i="7"/>
  <c r="J278" i="7"/>
  <c r="J277" i="7"/>
  <c r="J276" i="7"/>
  <c r="J275" i="7"/>
  <c r="J274" i="7"/>
  <c r="J272" i="7" s="1"/>
  <c r="J273" i="7"/>
  <c r="K272" i="7"/>
  <c r="J266" i="7"/>
  <c r="F266" i="7"/>
  <c r="J265" i="7"/>
  <c r="F265" i="7"/>
  <c r="J264" i="7"/>
  <c r="J262" i="7" s="1"/>
  <c r="J263" i="7"/>
  <c r="K262" i="7"/>
  <c r="J261" i="7"/>
  <c r="J260" i="7"/>
  <c r="J259" i="7"/>
  <c r="F258" i="7"/>
  <c r="J258" i="7" s="1"/>
  <c r="J257" i="7"/>
  <c r="F257" i="7"/>
  <c r="K257" i="7" s="1"/>
  <c r="J256" i="7"/>
  <c r="F256" i="7"/>
  <c r="K255" i="7"/>
  <c r="J254" i="7"/>
  <c r="F253" i="7"/>
  <c r="J253" i="7" s="1"/>
  <c r="J252" i="7"/>
  <c r="J251" i="7"/>
  <c r="F251" i="7"/>
  <c r="J250" i="7"/>
  <c r="F250" i="7"/>
  <c r="J249" i="7"/>
  <c r="F249" i="7"/>
  <c r="K248" i="7"/>
  <c r="J247" i="7"/>
  <c r="F247" i="7"/>
  <c r="K246" i="7"/>
  <c r="F246" i="7"/>
  <c r="J246" i="7" s="1"/>
  <c r="F245" i="7"/>
  <c r="J245" i="7" s="1"/>
  <c r="K244" i="7"/>
  <c r="J244" i="7"/>
  <c r="F243" i="7"/>
  <c r="J243" i="7" s="1"/>
  <c r="F242" i="7"/>
  <c r="J242" i="7" s="1"/>
  <c r="F241" i="7"/>
  <c r="J241" i="7" s="1"/>
  <c r="F240" i="7"/>
  <c r="J240" i="7" s="1"/>
  <c r="J238" i="7" s="1"/>
  <c r="F239" i="7"/>
  <c r="J239" i="7" s="1"/>
  <c r="K238" i="7"/>
  <c r="J237" i="7"/>
  <c r="J236" i="7"/>
  <c r="J235" i="7"/>
  <c r="J234" i="7"/>
  <c r="J233" i="7"/>
  <c r="J232" i="7"/>
  <c r="K219" i="7"/>
  <c r="J219" i="7"/>
  <c r="K218" i="7"/>
  <c r="J218" i="7"/>
  <c r="K217" i="7"/>
  <c r="J217" i="7"/>
  <c r="K216" i="7"/>
  <c r="J216" i="7"/>
  <c r="K215" i="7"/>
  <c r="J215" i="7"/>
  <c r="K214" i="7"/>
  <c r="J214" i="7"/>
  <c r="K213" i="7"/>
  <c r="J213" i="7"/>
  <c r="J212" i="7"/>
  <c r="J211" i="7"/>
  <c r="J201" i="7" s="1"/>
  <c r="J210" i="7"/>
  <c r="K209" i="7"/>
  <c r="J209" i="7"/>
  <c r="K208" i="7"/>
  <c r="J208" i="7"/>
  <c r="K207" i="7"/>
  <c r="J207" i="7"/>
  <c r="K206" i="7"/>
  <c r="J206" i="7"/>
  <c r="K205" i="7"/>
  <c r="J205" i="7"/>
  <c r="K204" i="7"/>
  <c r="J204" i="7"/>
  <c r="K203" i="7"/>
  <c r="J203" i="7"/>
  <c r="K202" i="7"/>
  <c r="J202" i="7"/>
  <c r="K201" i="7"/>
  <c r="J200" i="7"/>
  <c r="J199" i="7"/>
  <c r="J198" i="7"/>
  <c r="J197" i="7"/>
  <c r="K196" i="7"/>
  <c r="J196" i="7"/>
  <c r="K195" i="7"/>
  <c r="J195" i="7"/>
  <c r="J194" i="7"/>
  <c r="K193" i="7"/>
  <c r="J193" i="7"/>
  <c r="K192" i="7"/>
  <c r="J192" i="7"/>
  <c r="K191" i="7"/>
  <c r="J191" i="7"/>
  <c r="F190" i="7"/>
  <c r="J189" i="7"/>
  <c r="J188" i="7"/>
  <c r="J187" i="7"/>
  <c r="K186" i="7"/>
  <c r="J186" i="7"/>
  <c r="K185" i="7"/>
  <c r="J185" i="7"/>
  <c r="K184" i="7"/>
  <c r="J184" i="7"/>
  <c r="K183" i="7"/>
  <c r="J183" i="7"/>
  <c r="J182" i="7"/>
  <c r="K180" i="7"/>
  <c r="J180" i="7"/>
  <c r="K179" i="7"/>
  <c r="J179" i="7"/>
  <c r="K178" i="7"/>
  <c r="K177" i="7"/>
  <c r="J177" i="7"/>
  <c r="K176" i="7"/>
  <c r="J176" i="7"/>
  <c r="K175" i="7"/>
  <c r="J175" i="7"/>
  <c r="K174" i="7"/>
  <c r="J174" i="7"/>
  <c r="K173" i="7"/>
  <c r="J173" i="7"/>
  <c r="K172" i="7"/>
  <c r="J172" i="7"/>
  <c r="J171" i="7" s="1"/>
  <c r="K170" i="7"/>
  <c r="J170" i="7"/>
  <c r="K169" i="7"/>
  <c r="J169" i="7"/>
  <c r="K168" i="7"/>
  <c r="J168" i="7"/>
  <c r="K167" i="7"/>
  <c r="J167" i="7"/>
  <c r="K166" i="7"/>
  <c r="J166" i="7"/>
  <c r="K165" i="7"/>
  <c r="J165" i="7"/>
  <c r="K164" i="7"/>
  <c r="J164" i="7"/>
  <c r="K163" i="7"/>
  <c r="J163" i="7"/>
  <c r="K162" i="7"/>
  <c r="J162" i="7"/>
  <c r="K161" i="7"/>
  <c r="J161" i="7"/>
  <c r="G160" i="7"/>
  <c r="J159" i="7"/>
  <c r="F159" i="7"/>
  <c r="K159" i="7" s="1"/>
  <c r="G158" i="7"/>
  <c r="J157" i="7"/>
  <c r="F157" i="7"/>
  <c r="K157" i="7" s="1"/>
  <c r="G156" i="7"/>
  <c r="J155" i="7"/>
  <c r="F155" i="7"/>
  <c r="K155" i="7" s="1"/>
  <c r="G154" i="7"/>
  <c r="J153" i="7"/>
  <c r="F153" i="7"/>
  <c r="K153" i="7" s="1"/>
  <c r="G152" i="7"/>
  <c r="J151" i="7"/>
  <c r="F151" i="7"/>
  <c r="K151" i="7" s="1"/>
  <c r="G150" i="7"/>
  <c r="J149" i="7"/>
  <c r="F149" i="7"/>
  <c r="K149" i="7" s="1"/>
  <c r="G148" i="7"/>
  <c r="J147" i="7"/>
  <c r="F147" i="7"/>
  <c r="K147" i="7" s="1"/>
  <c r="G146" i="7"/>
  <c r="J145" i="7"/>
  <c r="F145" i="7"/>
  <c r="K145" i="7" s="1"/>
  <c r="G144" i="7"/>
  <c r="J143" i="7"/>
  <c r="F143" i="7"/>
  <c r="K143" i="7" s="1"/>
  <c r="G142" i="7"/>
  <c r="J141" i="7"/>
  <c r="F141" i="7"/>
  <c r="K141" i="7" s="1"/>
  <c r="G140" i="7"/>
  <c r="J139" i="7"/>
  <c r="F139" i="7"/>
  <c r="K139" i="7" s="1"/>
  <c r="G137" i="7"/>
  <c r="F137" i="7"/>
  <c r="K137" i="7" s="1"/>
  <c r="F135" i="7"/>
  <c r="K133" i="7"/>
  <c r="F133" i="7"/>
  <c r="J133" i="7" s="1"/>
  <c r="G134" i="7" s="1"/>
  <c r="K134" i="7" s="1"/>
  <c r="K132" i="7"/>
  <c r="J132" i="7"/>
  <c r="K131" i="7"/>
  <c r="K130" i="7"/>
  <c r="J130" i="7"/>
  <c r="K129" i="7"/>
  <c r="J129" i="7"/>
  <c r="K128" i="7"/>
  <c r="J128" i="7"/>
  <c r="K127" i="7"/>
  <c r="J127" i="7"/>
  <c r="K126" i="7"/>
  <c r="J126" i="7"/>
  <c r="K125" i="7"/>
  <c r="J125" i="7"/>
  <c r="K124" i="7"/>
  <c r="J124" i="7"/>
  <c r="K123" i="7"/>
  <c r="J123" i="7"/>
  <c r="J122" i="7"/>
  <c r="F122" i="7"/>
  <c r="K122" i="7" s="1"/>
  <c r="K121" i="7"/>
  <c r="F121" i="7"/>
  <c r="J121" i="7" s="1"/>
  <c r="J120" i="7"/>
  <c r="J118" i="7" s="1"/>
  <c r="F120" i="7"/>
  <c r="K120" i="7" s="1"/>
  <c r="K119" i="7"/>
  <c r="J119" i="7"/>
  <c r="K118" i="7"/>
  <c r="K117" i="7"/>
  <c r="J117" i="7"/>
  <c r="G116" i="7"/>
  <c r="J115" i="7"/>
  <c r="F115" i="7"/>
  <c r="K115" i="7" s="1"/>
  <c r="G114" i="7"/>
  <c r="J113" i="7"/>
  <c r="F113" i="7"/>
  <c r="K113" i="7" s="1"/>
  <c r="K112" i="7"/>
  <c r="F110" i="7"/>
  <c r="K109" i="7"/>
  <c r="J109" i="7"/>
  <c r="K108" i="7"/>
  <c r="J108" i="7"/>
  <c r="K107" i="7"/>
  <c r="J107" i="7"/>
  <c r="K106" i="7"/>
  <c r="J106" i="7"/>
  <c r="K105" i="7"/>
  <c r="J105" i="7"/>
  <c r="K103" i="7"/>
  <c r="F103" i="7"/>
  <c r="J103" i="7" s="1"/>
  <c r="G104" i="7" s="1"/>
  <c r="K104" i="7" s="1"/>
  <c r="F101" i="7"/>
  <c r="K99" i="7"/>
  <c r="F99" i="7"/>
  <c r="J99" i="7" s="1"/>
  <c r="G100" i="7" s="1"/>
  <c r="K100" i="7" s="1"/>
  <c r="K98" i="7"/>
  <c r="J98" i="7"/>
  <c r="K97" i="7"/>
  <c r="K96" i="7"/>
  <c r="J96" i="7"/>
  <c r="K95" i="7"/>
  <c r="J95" i="7"/>
  <c r="K94" i="7"/>
  <c r="J94" i="7"/>
  <c r="K93" i="7"/>
  <c r="J93" i="7"/>
  <c r="K92" i="7"/>
  <c r="J92" i="7"/>
  <c r="K91" i="7"/>
  <c r="J91" i="7"/>
  <c r="F89" i="7"/>
  <c r="K87" i="7"/>
  <c r="F87" i="7"/>
  <c r="J87" i="7" s="1"/>
  <c r="G88" i="7" s="1"/>
  <c r="K88" i="7" s="1"/>
  <c r="F85" i="7"/>
  <c r="F83" i="7"/>
  <c r="J83" i="7" s="1"/>
  <c r="G84" i="7" s="1"/>
  <c r="K84" i="7" s="1"/>
  <c r="K81" i="7"/>
  <c r="F81" i="7"/>
  <c r="J81" i="7" s="1"/>
  <c r="G82" i="7" s="1"/>
  <c r="K82" i="7" s="1"/>
  <c r="F79" i="7"/>
  <c r="J79" i="7" s="1"/>
  <c r="G80" i="7" s="1"/>
  <c r="K80" i="7" s="1"/>
  <c r="K77" i="7"/>
  <c r="F77" i="7"/>
  <c r="J77" i="7" s="1"/>
  <c r="G78" i="7" s="1"/>
  <c r="K78" i="7" s="1"/>
  <c r="K76" i="7"/>
  <c r="J76" i="7"/>
  <c r="K75" i="7"/>
  <c r="F73" i="7"/>
  <c r="J73" i="7" s="1"/>
  <c r="G74" i="7" s="1"/>
  <c r="K74" i="7" s="1"/>
  <c r="K71" i="7"/>
  <c r="F71" i="7"/>
  <c r="J71" i="7" s="1"/>
  <c r="G72" i="7" s="1"/>
  <c r="K72" i="7" s="1"/>
  <c r="K70" i="7"/>
  <c r="J70" i="7"/>
  <c r="K69" i="7"/>
  <c r="K68" i="7"/>
  <c r="J68" i="7"/>
  <c r="K67" i="7"/>
  <c r="J67" i="7"/>
  <c r="K66" i="7"/>
  <c r="J66" i="7"/>
  <c r="K65" i="7"/>
  <c r="J65" i="7"/>
  <c r="K64" i="7"/>
  <c r="J64" i="7"/>
  <c r="K63" i="7"/>
  <c r="J63" i="7"/>
  <c r="K62" i="7"/>
  <c r="J62" i="7"/>
  <c r="K61" i="7"/>
  <c r="J61" i="7"/>
  <c r="K60" i="7"/>
  <c r="J60" i="7"/>
  <c r="K59" i="7"/>
  <c r="J59" i="7"/>
  <c r="K58" i="7"/>
  <c r="J58" i="7"/>
  <c r="K57" i="7"/>
  <c r="J57" i="7"/>
  <c r="F55" i="7"/>
  <c r="J55" i="7" s="1"/>
  <c r="G56" i="7" s="1"/>
  <c r="K56" i="7" s="1"/>
  <c r="K53" i="7"/>
  <c r="F53" i="7"/>
  <c r="J53" i="7" s="1"/>
  <c r="G54" i="7" s="1"/>
  <c r="K54" i="7" s="1"/>
  <c r="F51" i="7"/>
  <c r="J51" i="7" s="1"/>
  <c r="G52" i="7" s="1"/>
  <c r="K52" i="7" s="1"/>
  <c r="K50" i="7"/>
  <c r="J50" i="7"/>
  <c r="K49" i="7"/>
  <c r="K48" i="7"/>
  <c r="J48" i="7"/>
  <c r="K47" i="7"/>
  <c r="J47" i="7"/>
  <c r="K46" i="7"/>
  <c r="J46" i="7"/>
  <c r="K45" i="7"/>
  <c r="J45" i="7"/>
  <c r="K44" i="7"/>
  <c r="J44" i="7"/>
  <c r="K43" i="7"/>
  <c r="J43" i="7"/>
  <c r="K42" i="7"/>
  <c r="J42" i="7"/>
  <c r="K41" i="7"/>
  <c r="J41" i="7"/>
  <c r="K40" i="7"/>
  <c r="J40" i="7"/>
  <c r="K38" i="7"/>
  <c r="F38" i="7"/>
  <c r="J38" i="7" s="1"/>
  <c r="G39" i="7" s="1"/>
  <c r="K39" i="7" s="1"/>
  <c r="F36" i="7"/>
  <c r="J36" i="7" s="1"/>
  <c r="G37" i="7" s="1"/>
  <c r="K37" i="7" s="1"/>
  <c r="K34" i="7"/>
  <c r="F34" i="7"/>
  <c r="J34" i="7" s="1"/>
  <c r="G35" i="7" s="1"/>
  <c r="K35" i="7" s="1"/>
  <c r="F32" i="7"/>
  <c r="J32" i="7" s="1"/>
  <c r="G33" i="7" s="1"/>
  <c r="K33" i="7" s="1"/>
  <c r="K30" i="7"/>
  <c r="F30" i="7"/>
  <c r="J30" i="7" s="1"/>
  <c r="G31" i="7" s="1"/>
  <c r="K31" i="7" s="1"/>
  <c r="F28" i="7"/>
  <c r="J28" i="7" s="1"/>
  <c r="G29" i="7" s="1"/>
  <c r="K29" i="7" s="1"/>
  <c r="K26" i="7"/>
  <c r="F26" i="7"/>
  <c r="J26" i="7" s="1"/>
  <c r="G27" i="7" s="1"/>
  <c r="K27" i="7" s="1"/>
  <c r="F24" i="7"/>
  <c r="J24" i="7" s="1"/>
  <c r="G25" i="7" s="1"/>
  <c r="K25" i="7" s="1"/>
  <c r="J22" i="7"/>
  <c r="G23" i="7" s="1"/>
  <c r="F22" i="7"/>
  <c r="K22" i="7" s="1"/>
  <c r="J20" i="7"/>
  <c r="G21" i="7" s="1"/>
  <c r="F20" i="7"/>
  <c r="K20" i="7" s="1"/>
  <c r="J18" i="7"/>
  <c r="G19" i="7" s="1"/>
  <c r="F18" i="7"/>
  <c r="K18" i="7" s="1"/>
  <c r="J16" i="7"/>
  <c r="F16" i="7"/>
  <c r="K16" i="7" s="1"/>
  <c r="K15" i="7"/>
  <c r="J15" i="7"/>
  <c r="K14" i="7"/>
  <c r="J12" i="7"/>
  <c r="G13" i="7" s="1"/>
  <c r="F12" i="7"/>
  <c r="K12" i="7" s="1"/>
  <c r="J10" i="7"/>
  <c r="G11" i="7" s="1"/>
  <c r="F10" i="7"/>
  <c r="K10" i="7" s="1"/>
  <c r="J8" i="7"/>
  <c r="F8" i="7"/>
  <c r="K8" i="7" s="1"/>
  <c r="K7" i="7"/>
  <c r="J7" i="7"/>
  <c r="K6" i="7"/>
  <c r="J11" i="7" l="1"/>
  <c r="K11" i="7"/>
  <c r="J13" i="7"/>
  <c r="K13" i="7"/>
  <c r="J19" i="7"/>
  <c r="K19" i="7"/>
  <c r="J21" i="7"/>
  <c r="K21" i="7"/>
  <c r="K23" i="7"/>
  <c r="J23" i="7"/>
  <c r="G9" i="7"/>
  <c r="G17" i="7"/>
  <c r="J25" i="7"/>
  <c r="J29" i="7"/>
  <c r="J33" i="7"/>
  <c r="J37" i="7"/>
  <c r="J52" i="7"/>
  <c r="J49" i="7" s="1"/>
  <c r="J56" i="7"/>
  <c r="J74" i="7"/>
  <c r="J80" i="7"/>
  <c r="J84" i="7"/>
  <c r="J101" i="7"/>
  <c r="G102" i="7" s="1"/>
  <c r="K101" i="7"/>
  <c r="J110" i="7"/>
  <c r="G111" i="7" s="1"/>
  <c r="K110" i="7"/>
  <c r="J116" i="7"/>
  <c r="K116" i="7"/>
  <c r="J140" i="7"/>
  <c r="K140" i="7"/>
  <c r="J144" i="7"/>
  <c r="K144" i="7"/>
  <c r="J148" i="7"/>
  <c r="K148" i="7"/>
  <c r="J152" i="7"/>
  <c r="K152" i="7"/>
  <c r="J156" i="7"/>
  <c r="K156" i="7"/>
  <c r="J160" i="7"/>
  <c r="K160" i="7"/>
  <c r="J286" i="7"/>
  <c r="J282" i="7" s="1"/>
  <c r="K286" i="7"/>
  <c r="K24" i="7"/>
  <c r="J27" i="7"/>
  <c r="K28" i="7"/>
  <c r="J31" i="7"/>
  <c r="K32" i="7"/>
  <c r="J35" i="7"/>
  <c r="K36" i="7"/>
  <c r="J39" i="7"/>
  <c r="K51" i="7"/>
  <c r="J54" i="7"/>
  <c r="K55" i="7"/>
  <c r="J72" i="7"/>
  <c r="K73" i="7"/>
  <c r="J78" i="7"/>
  <c r="K79" i="7"/>
  <c r="J82" i="7"/>
  <c r="K83" i="7"/>
  <c r="J85" i="7"/>
  <c r="G86" i="7" s="1"/>
  <c r="K85" i="7"/>
  <c r="J89" i="7"/>
  <c r="G90" i="7" s="1"/>
  <c r="K89" i="7"/>
  <c r="J114" i="7"/>
  <c r="K114" i="7"/>
  <c r="J135" i="7"/>
  <c r="G136" i="7" s="1"/>
  <c r="K135" i="7"/>
  <c r="J142" i="7"/>
  <c r="K142" i="7"/>
  <c r="J146" i="7"/>
  <c r="K146" i="7"/>
  <c r="J150" i="7"/>
  <c r="K150" i="7"/>
  <c r="J154" i="7"/>
  <c r="K154" i="7"/>
  <c r="J158" i="7"/>
  <c r="K158" i="7"/>
  <c r="L190" i="7"/>
  <c r="J190" i="7"/>
  <c r="J178" i="7" s="1"/>
  <c r="K190" i="7"/>
  <c r="J88" i="7"/>
  <c r="J100" i="7"/>
  <c r="J104" i="7"/>
  <c r="J134" i="7"/>
  <c r="J137" i="7"/>
  <c r="G138" i="7" s="1"/>
  <c r="J248" i="7"/>
  <c r="J255" i="7"/>
  <c r="J60" i="6"/>
  <c r="J59" i="6"/>
  <c r="J58" i="6"/>
  <c r="J25" i="6"/>
  <c r="J24" i="6"/>
  <c r="J23" i="6"/>
  <c r="J22" i="6"/>
  <c r="I21" i="6"/>
  <c r="H21" i="6"/>
  <c r="J21" i="6" s="1"/>
  <c r="I20" i="6"/>
  <c r="H20" i="6"/>
  <c r="J20" i="6" s="1"/>
  <c r="I19" i="6"/>
  <c r="I26" i="6" s="1"/>
  <c r="H19" i="6"/>
  <c r="J19" i="6" s="1"/>
  <c r="J18" i="6"/>
  <c r="J17" i="6"/>
  <c r="J16" i="6"/>
  <c r="J15" i="6"/>
  <c r="J14" i="6"/>
  <c r="J13" i="6"/>
  <c r="J12" i="6"/>
  <c r="J11" i="6"/>
  <c r="J10" i="6"/>
  <c r="J9" i="6"/>
  <c r="J8" i="6"/>
  <c r="J7" i="6"/>
  <c r="J6" i="6"/>
  <c r="J5" i="6"/>
  <c r="K6" i="5"/>
  <c r="J7" i="5"/>
  <c r="K7" i="5"/>
  <c r="F8" i="5"/>
  <c r="J8" i="5" s="1"/>
  <c r="G9" i="5" s="1"/>
  <c r="K8" i="5"/>
  <c r="F10" i="5"/>
  <c r="J10" i="5" s="1"/>
  <c r="G11" i="5" s="1"/>
  <c r="F12" i="5"/>
  <c r="J12" i="5" s="1"/>
  <c r="G13" i="5" s="1"/>
  <c r="K14" i="5"/>
  <c r="J15" i="5"/>
  <c r="K15" i="5"/>
  <c r="F16" i="5"/>
  <c r="J16" i="5" s="1"/>
  <c r="K16" i="5"/>
  <c r="F18" i="5"/>
  <c r="J18" i="5" s="1"/>
  <c r="G19" i="5" s="1"/>
  <c r="K18" i="5"/>
  <c r="F20" i="5"/>
  <c r="J20" i="5" s="1"/>
  <c r="G21" i="5" s="1"/>
  <c r="F22" i="5"/>
  <c r="J22" i="5" s="1"/>
  <c r="G23" i="5" s="1"/>
  <c r="F24" i="5"/>
  <c r="J24" i="5" s="1"/>
  <c r="G25" i="5" s="1"/>
  <c r="F26" i="5"/>
  <c r="J26" i="5" s="1"/>
  <c r="G27" i="5" s="1"/>
  <c r="F28" i="5"/>
  <c r="J28" i="5" s="1"/>
  <c r="G29" i="5" s="1"/>
  <c r="F30" i="5"/>
  <c r="J30" i="5" s="1"/>
  <c r="G31" i="5" s="1"/>
  <c r="F32" i="5"/>
  <c r="J32" i="5" s="1"/>
  <c r="G33" i="5" s="1"/>
  <c r="F34" i="5"/>
  <c r="J34" i="5" s="1"/>
  <c r="G35" i="5" s="1"/>
  <c r="F36" i="5"/>
  <c r="J36" i="5" s="1"/>
  <c r="G37" i="5" s="1"/>
  <c r="F38" i="5"/>
  <c r="J38" i="5" s="1"/>
  <c r="G39" i="5" s="1"/>
  <c r="J40" i="5"/>
  <c r="K40" i="5"/>
  <c r="J41" i="5"/>
  <c r="K41" i="5"/>
  <c r="J42" i="5"/>
  <c r="K42" i="5"/>
  <c r="J43" i="5"/>
  <c r="K43" i="5"/>
  <c r="J44" i="5"/>
  <c r="K44" i="5"/>
  <c r="J45" i="5"/>
  <c r="K45" i="5"/>
  <c r="J46" i="5"/>
  <c r="K46" i="5"/>
  <c r="J47" i="5"/>
  <c r="K47" i="5"/>
  <c r="J48" i="5"/>
  <c r="K48" i="5"/>
  <c r="K49" i="5"/>
  <c r="J50" i="5"/>
  <c r="K50" i="5"/>
  <c r="F51" i="5"/>
  <c r="J51" i="5" s="1"/>
  <c r="K51" i="5"/>
  <c r="F53" i="5"/>
  <c r="J53" i="5" s="1"/>
  <c r="G54" i="5" s="1"/>
  <c r="K53" i="5"/>
  <c r="F55" i="5"/>
  <c r="J55" i="5" s="1"/>
  <c r="G56" i="5" s="1"/>
  <c r="K55" i="5"/>
  <c r="J57" i="5"/>
  <c r="K57" i="5"/>
  <c r="J58" i="5"/>
  <c r="K58" i="5"/>
  <c r="J59" i="5"/>
  <c r="K59" i="5"/>
  <c r="J60" i="5"/>
  <c r="K60" i="5"/>
  <c r="J61" i="5"/>
  <c r="K61" i="5"/>
  <c r="J62" i="5"/>
  <c r="K62" i="5"/>
  <c r="J63" i="5"/>
  <c r="K63" i="5"/>
  <c r="J64" i="5"/>
  <c r="K64" i="5"/>
  <c r="J65" i="5"/>
  <c r="K65" i="5"/>
  <c r="J66" i="5"/>
  <c r="K66" i="5"/>
  <c r="J67" i="5"/>
  <c r="K67" i="5"/>
  <c r="J68" i="5"/>
  <c r="K68" i="5"/>
  <c r="K69" i="5"/>
  <c r="J70" i="5"/>
  <c r="K70" i="5"/>
  <c r="F71" i="5"/>
  <c r="F73" i="5"/>
  <c r="J73" i="5" s="1"/>
  <c r="G74" i="5" s="1"/>
  <c r="K74" i="5" s="1"/>
  <c r="K73" i="5"/>
  <c r="J74" i="5"/>
  <c r="K75" i="5"/>
  <c r="J76" i="5"/>
  <c r="K76" i="5"/>
  <c r="F77" i="5"/>
  <c r="F79" i="5"/>
  <c r="J79" i="5" s="1"/>
  <c r="G80" i="5" s="1"/>
  <c r="K80" i="5" s="1"/>
  <c r="F81" i="5"/>
  <c r="F83" i="5"/>
  <c r="J83" i="5" s="1"/>
  <c r="G84" i="5" s="1"/>
  <c r="K84" i="5" s="1"/>
  <c r="J84" i="5"/>
  <c r="F85" i="5"/>
  <c r="F87" i="5"/>
  <c r="J87" i="5" s="1"/>
  <c r="G88" i="5" s="1"/>
  <c r="K88" i="5" s="1"/>
  <c r="F89" i="5"/>
  <c r="J91" i="5"/>
  <c r="K91" i="5"/>
  <c r="J92" i="5"/>
  <c r="K92" i="5"/>
  <c r="J93" i="5"/>
  <c r="K93" i="5"/>
  <c r="J94" i="5"/>
  <c r="K94" i="5"/>
  <c r="J95" i="5"/>
  <c r="K95" i="5"/>
  <c r="J96" i="5"/>
  <c r="K96" i="5"/>
  <c r="K97" i="5"/>
  <c r="J98" i="5"/>
  <c r="K98" i="5"/>
  <c r="F99" i="5"/>
  <c r="J99" i="5" s="1"/>
  <c r="G100" i="5" s="1"/>
  <c r="K100" i="5" s="1"/>
  <c r="K99" i="5"/>
  <c r="J100" i="5"/>
  <c r="F101" i="5"/>
  <c r="F103" i="5"/>
  <c r="J103" i="5"/>
  <c r="K103" i="5"/>
  <c r="G104" i="5"/>
  <c r="J104" i="5" s="1"/>
  <c r="J105" i="5"/>
  <c r="K105" i="5"/>
  <c r="J106" i="5"/>
  <c r="K106" i="5"/>
  <c r="J107" i="5"/>
  <c r="K107" i="5"/>
  <c r="J108" i="5"/>
  <c r="K108" i="5"/>
  <c r="J109" i="5"/>
  <c r="K109" i="5"/>
  <c r="F110" i="5"/>
  <c r="J110" i="5"/>
  <c r="K110" i="5"/>
  <c r="G111" i="5"/>
  <c r="J111" i="5" s="1"/>
  <c r="K112" i="5"/>
  <c r="F113" i="5"/>
  <c r="J113" i="5" s="1"/>
  <c r="G114" i="5" s="1"/>
  <c r="K114" i="5" s="1"/>
  <c r="J114" i="5"/>
  <c r="F115" i="5"/>
  <c r="J115" i="5" s="1"/>
  <c r="G116" i="5" s="1"/>
  <c r="K116" i="5" s="1"/>
  <c r="K115" i="5"/>
  <c r="J116" i="5"/>
  <c r="J117" i="5"/>
  <c r="K117" i="5"/>
  <c r="K118" i="5"/>
  <c r="J119" i="5"/>
  <c r="K119" i="5"/>
  <c r="F120" i="5"/>
  <c r="J120" i="5" s="1"/>
  <c r="F121" i="5"/>
  <c r="J121" i="5" s="1"/>
  <c r="K121" i="5"/>
  <c r="F122" i="5"/>
  <c r="J122" i="5" s="1"/>
  <c r="K122" i="5"/>
  <c r="J123" i="5"/>
  <c r="K123" i="5"/>
  <c r="J124" i="5"/>
  <c r="K124" i="5"/>
  <c r="J125" i="5"/>
  <c r="K125" i="5"/>
  <c r="J126" i="5"/>
  <c r="K126" i="5"/>
  <c r="J127" i="5"/>
  <c r="K127" i="5"/>
  <c r="J128" i="5"/>
  <c r="K128" i="5"/>
  <c r="J129" i="5"/>
  <c r="K129" i="5"/>
  <c r="J130" i="5"/>
  <c r="K130" i="5"/>
  <c r="K131" i="5"/>
  <c r="J132" i="5"/>
  <c r="K132" i="5"/>
  <c r="F133" i="5"/>
  <c r="J133" i="5" s="1"/>
  <c r="G134" i="5" s="1"/>
  <c r="K133" i="5"/>
  <c r="F135" i="5"/>
  <c r="J135" i="5"/>
  <c r="K135" i="5"/>
  <c r="G136" i="5"/>
  <c r="J136" i="5" s="1"/>
  <c r="F137" i="5"/>
  <c r="G137" i="5"/>
  <c r="J137" i="5" s="1"/>
  <c r="G138" i="5" s="1"/>
  <c r="K138" i="5" s="1"/>
  <c r="F139" i="5"/>
  <c r="J139" i="5" s="1"/>
  <c r="G140" i="5" s="1"/>
  <c r="K140" i="5" s="1"/>
  <c r="F141" i="5"/>
  <c r="J141" i="5" s="1"/>
  <c r="G142" i="5" s="1"/>
  <c r="K142" i="5" s="1"/>
  <c r="K141" i="5"/>
  <c r="J142" i="5"/>
  <c r="F143" i="5"/>
  <c r="J143" i="5" s="1"/>
  <c r="G144" i="5" s="1"/>
  <c r="K144" i="5" s="1"/>
  <c r="F145" i="5"/>
  <c r="J145" i="5" s="1"/>
  <c r="G146" i="5" s="1"/>
  <c r="K146" i="5" s="1"/>
  <c r="K145" i="5"/>
  <c r="J146" i="5"/>
  <c r="F147" i="5"/>
  <c r="J147" i="5" s="1"/>
  <c r="G148" i="5" s="1"/>
  <c r="K148" i="5" s="1"/>
  <c r="F149" i="5"/>
  <c r="J149" i="5" s="1"/>
  <c r="G150" i="5" s="1"/>
  <c r="K150" i="5" s="1"/>
  <c r="F151" i="5"/>
  <c r="J151" i="5" s="1"/>
  <c r="G152" i="5" s="1"/>
  <c r="K152" i="5" s="1"/>
  <c r="F153" i="5"/>
  <c r="J153" i="5" s="1"/>
  <c r="G154" i="5" s="1"/>
  <c r="K154" i="5" s="1"/>
  <c r="J154" i="5"/>
  <c r="F155" i="5"/>
  <c r="J155" i="5" s="1"/>
  <c r="G156" i="5" s="1"/>
  <c r="K156" i="5" s="1"/>
  <c r="J156" i="5"/>
  <c r="F157" i="5"/>
  <c r="J157" i="5" s="1"/>
  <c r="G158" i="5" s="1"/>
  <c r="K158" i="5" s="1"/>
  <c r="K157" i="5"/>
  <c r="J158" i="5"/>
  <c r="F159" i="5"/>
  <c r="J159" i="5" s="1"/>
  <c r="G160" i="5" s="1"/>
  <c r="K160" i="5" s="1"/>
  <c r="J161" i="5"/>
  <c r="K161" i="5"/>
  <c r="J162" i="5"/>
  <c r="K162" i="5"/>
  <c r="J163" i="5"/>
  <c r="K163" i="5"/>
  <c r="J164" i="5"/>
  <c r="K164" i="5"/>
  <c r="J165" i="5"/>
  <c r="K165" i="5"/>
  <c r="J166" i="5"/>
  <c r="K166" i="5"/>
  <c r="J167" i="5"/>
  <c r="K167" i="5"/>
  <c r="J168" i="5"/>
  <c r="K168" i="5"/>
  <c r="J169" i="5"/>
  <c r="K169" i="5"/>
  <c r="J170" i="5"/>
  <c r="K170" i="5"/>
  <c r="N171" i="5"/>
  <c r="K172" i="5"/>
  <c r="J150" i="5" l="1"/>
  <c r="J140" i="5"/>
  <c r="J138" i="5"/>
  <c r="J88" i="5"/>
  <c r="J80" i="5"/>
  <c r="J134" i="5"/>
  <c r="J131" i="5" s="1"/>
  <c r="K134" i="5"/>
  <c r="K12" i="5"/>
  <c r="K10" i="5"/>
  <c r="K153" i="5"/>
  <c r="K149" i="5"/>
  <c r="J148" i="5"/>
  <c r="K137" i="5"/>
  <c r="J118" i="5"/>
  <c r="K111" i="5"/>
  <c r="K87" i="5"/>
  <c r="K83" i="5"/>
  <c r="K79" i="5"/>
  <c r="K38" i="5"/>
  <c r="K36" i="5"/>
  <c r="K34" i="5"/>
  <c r="K32" i="5"/>
  <c r="K30" i="5"/>
  <c r="K28" i="5"/>
  <c r="K26" i="5"/>
  <c r="K24" i="5"/>
  <c r="K22" i="5"/>
  <c r="K20" i="5"/>
  <c r="J138" i="7"/>
  <c r="K138" i="7"/>
  <c r="J9" i="7"/>
  <c r="J6" i="7" s="1"/>
  <c r="K9" i="7"/>
  <c r="K136" i="7"/>
  <c r="J136" i="7"/>
  <c r="J131" i="7" s="1"/>
  <c r="K90" i="7"/>
  <c r="J90" i="7"/>
  <c r="K86" i="7"/>
  <c r="J86" i="7"/>
  <c r="J75" i="7" s="1"/>
  <c r="J69" i="7"/>
  <c r="K111" i="7"/>
  <c r="J111" i="7"/>
  <c r="K102" i="7"/>
  <c r="J102" i="7"/>
  <c r="J97" i="7" s="1"/>
  <c r="J17" i="7"/>
  <c r="J14" i="7" s="1"/>
  <c r="K17" i="7"/>
  <c r="J152" i="5"/>
  <c r="J144" i="5"/>
  <c r="J160" i="5"/>
  <c r="H26" i="6"/>
  <c r="J26" i="6" s="1"/>
  <c r="J101" i="5"/>
  <c r="G102" i="5" s="1"/>
  <c r="K101" i="5"/>
  <c r="J89" i="5"/>
  <c r="G90" i="5" s="1"/>
  <c r="K89" i="5"/>
  <c r="J81" i="5"/>
  <c r="G82" i="5" s="1"/>
  <c r="K81" i="5"/>
  <c r="J71" i="5"/>
  <c r="G72" i="5" s="1"/>
  <c r="K71" i="5"/>
  <c r="J56" i="5"/>
  <c r="K56" i="5"/>
  <c r="K159" i="5"/>
  <c r="K155" i="5"/>
  <c r="K151" i="5"/>
  <c r="K147" i="5"/>
  <c r="K143" i="5"/>
  <c r="K139" i="5"/>
  <c r="K136" i="5"/>
  <c r="K120" i="5"/>
  <c r="K113" i="5"/>
  <c r="K104" i="5"/>
  <c r="J85" i="5"/>
  <c r="G86" i="5" s="1"/>
  <c r="K85" i="5"/>
  <c r="J77" i="5"/>
  <c r="G78" i="5" s="1"/>
  <c r="K77" i="5"/>
  <c r="J54" i="5"/>
  <c r="K54" i="5"/>
  <c r="G52" i="5"/>
  <c r="J13" i="5"/>
  <c r="K13" i="5"/>
  <c r="J11" i="5"/>
  <c r="K11" i="5"/>
  <c r="J9" i="5"/>
  <c r="K9" i="5"/>
  <c r="J6" i="5"/>
  <c r="J39" i="5"/>
  <c r="K39" i="5"/>
  <c r="J37" i="5"/>
  <c r="K37" i="5"/>
  <c r="J35" i="5"/>
  <c r="K35" i="5"/>
  <c r="J33" i="5"/>
  <c r="K33" i="5"/>
  <c r="J31" i="5"/>
  <c r="K31" i="5"/>
  <c r="J29" i="5"/>
  <c r="K29" i="5"/>
  <c r="J27" i="5"/>
  <c r="K27" i="5"/>
  <c r="J25" i="5"/>
  <c r="K25" i="5"/>
  <c r="J23" i="5"/>
  <c r="K23" i="5"/>
  <c r="J21" i="5"/>
  <c r="K21" i="5"/>
  <c r="J19" i="5"/>
  <c r="K19" i="5"/>
  <c r="G17" i="5"/>
  <c r="K291" i="7" l="1"/>
  <c r="J291" i="7"/>
  <c r="J17" i="5"/>
  <c r="J14" i="5" s="1"/>
  <c r="K17" i="5"/>
  <c r="J52" i="5"/>
  <c r="J49" i="5" s="1"/>
  <c r="K52" i="5"/>
  <c r="K78" i="5"/>
  <c r="J78" i="5"/>
  <c r="K86" i="5"/>
  <c r="J86" i="5"/>
  <c r="K72" i="5"/>
  <c r="J72" i="5"/>
  <c r="K82" i="5"/>
  <c r="J82" i="5"/>
  <c r="K90" i="5"/>
  <c r="J90" i="5"/>
  <c r="J102" i="5"/>
  <c r="J97" i="5" s="1"/>
  <c r="K102" i="5"/>
  <c r="J69" i="5"/>
  <c r="J75" i="5"/>
  <c r="J171" i="5" l="1"/>
  <c r="K171" i="5"/>
</calcChain>
</file>

<file path=xl/comments1.xml><?xml version="1.0" encoding="utf-8"?>
<comments xmlns="http://schemas.openxmlformats.org/spreadsheetml/2006/main">
  <authors>
    <author>Windows User</author>
  </authors>
  <commentList>
    <comment ref="C69" authorId="0">
      <text>
        <r>
          <rPr>
            <sz val="9"/>
            <color indexed="81"/>
            <rFont val="Tahoma"/>
            <family val="2"/>
          </rPr>
          <t xml:space="preserve">0903510601
</t>
        </r>
      </text>
    </comment>
  </commentList>
</comments>
</file>

<file path=xl/comments2.xml><?xml version="1.0" encoding="utf-8"?>
<comments xmlns="http://schemas.openxmlformats.org/spreadsheetml/2006/main">
  <authors>
    <author>Windows User</author>
  </authors>
  <commentList>
    <comment ref="C69" authorId="0">
      <text>
        <r>
          <rPr>
            <sz val="9"/>
            <color indexed="81"/>
            <rFont val="Tahoma"/>
            <family val="2"/>
          </rPr>
          <t xml:space="preserve">0903510601
</t>
        </r>
      </text>
    </comment>
  </commentList>
</comments>
</file>

<file path=xl/sharedStrings.xml><?xml version="1.0" encoding="utf-8"?>
<sst xmlns="http://schemas.openxmlformats.org/spreadsheetml/2006/main" count="1304" uniqueCount="390">
  <si>
    <t xml:space="preserve">Tổng cộng:  Mười lăm tỷ, năm trăm hai mươi triệu, không trăm hai mươi mốt nghìn đồng
</t>
  </si>
  <si>
    <t>Tổng cộng</t>
  </si>
  <si>
    <r>
      <t>m</t>
    </r>
    <r>
      <rPr>
        <vertAlign val="superscript"/>
        <sz val="12"/>
        <rFont val="Times New Roman"/>
        <family val="1"/>
      </rPr>
      <t>3</t>
    </r>
  </si>
  <si>
    <t>Hố ga. KT =0.7*1.1*1.5</t>
  </si>
  <si>
    <t>Cây</t>
  </si>
  <si>
    <t>B-I.1, 
QĐ 11</t>
  </si>
  <si>
    <t>Cây chuối thu hoạch: 25 cây</t>
  </si>
  <si>
    <r>
      <t>m</t>
    </r>
    <r>
      <rPr>
        <vertAlign val="superscript"/>
        <sz val="12"/>
        <color indexed="8"/>
        <rFont val="Times New Roman"/>
        <family val="1"/>
      </rPr>
      <t>2</t>
    </r>
  </si>
  <si>
    <t>QĐ 65 - PL02 - XIV.6</t>
  </si>
  <si>
    <t>Lưới B40: DT=20*1.6</t>
  </si>
  <si>
    <t>PL1; 7-4;
QĐ 65</t>
  </si>
  <si>
    <t>Móng đổ bê tông. KT=14*0.5*1</t>
  </si>
  <si>
    <t xml:space="preserve">
XIV-5
QĐ 65</t>
  </si>
  <si>
    <t>Hàng rào bờ lô kín: Dt = 19*0.7</t>
  </si>
  <si>
    <t>PL2; XVIII-3;
QĐ 65</t>
  </si>
  <si>
    <t>Kè xây bờ lô: KT=5.9*0.2*0.15+4.8*0.2*1.5</t>
  </si>
  <si>
    <r>
      <t>m</t>
    </r>
    <r>
      <rPr>
        <vertAlign val="superscript"/>
        <sz val="12"/>
        <color indexed="62"/>
        <rFont val="Times New Roman"/>
        <family val="1"/>
      </rPr>
      <t>2</t>
    </r>
  </si>
  <si>
    <t>PL2; XI-2;
QĐ 65</t>
  </si>
  <si>
    <t>Sân xi măng: DT=5.8*2.4</t>
  </si>
  <si>
    <t>PL2; IV-2.3;
QĐ 65</t>
  </si>
  <si>
    <t>Mái che tôn, đỡ sắt, trụ sắt: DT=5.9*2.4</t>
  </si>
  <si>
    <t>Bà Nguyễn Thị Nở. Đ/c: kiệt 190 Bùi Thị Xuân, TP Huế. ( thửa 59 tờ 2)</t>
  </si>
  <si>
    <t>Hàng rào bờ lô kín: Dt = 8*1</t>
  </si>
  <si>
    <t>Móng đổ bê tông. KT=1.5*1.2*8m</t>
  </si>
  <si>
    <t>Ông, bà Lê Quang Ninh - Nguyễn Thị Vấn. Đ/c: 1/212 Bùi Thị Xuân. Thửa 71 tờ 2.</t>
  </si>
  <si>
    <r>
      <t>m</t>
    </r>
    <r>
      <rPr>
        <vertAlign val="superscript"/>
        <sz val="12"/>
        <rFont val="Times New Roman"/>
        <family val="1"/>
      </rPr>
      <t>2</t>
    </r>
  </si>
  <si>
    <t>A-25, 
QĐ 11</t>
  </si>
  <si>
    <t>Môn: 10m2</t>
  </si>
  <si>
    <t>B-II.23, 
QĐ 11</t>
  </si>
  <si>
    <t>Dừa cao &lt;10m: 2 cây</t>
  </si>
  <si>
    <t>B-II.22, 
QĐ 11</t>
  </si>
  <si>
    <t>Cau cao &lt;5m: 1 cây</t>
  </si>
  <si>
    <t>B-IV.4, 
QĐ 11</t>
  </si>
  <si>
    <t>Cáng giáo d=3: 110 cây</t>
  </si>
  <si>
    <t>B-II.11, 
QĐ 11</t>
  </si>
  <si>
    <t>Đào d=25: 1 cây</t>
  </si>
  <si>
    <t>Tre d= 3-5: 65 cây</t>
  </si>
  <si>
    <t>Bà Lê Thị Hương Trà ( Đại diện kê khai). Đ/c: 4/216 Bùi Thị Xuân ( thửa 75 tờ 02). 0914014018</t>
  </si>
  <si>
    <t>Chuồng gà thô sơ. DT =1,8*1,5</t>
  </si>
  <si>
    <t>Trứng cá d=25: 2 cây</t>
  </si>
  <si>
    <t>Hố ga. KT =1,5*1*1</t>
  </si>
  <si>
    <t>Sân gạch terazo. DT =3*3,9</t>
  </si>
  <si>
    <t>Võ Văn Hiền - Dương Thị Thái Thanh. Đ/c: kiệt 190 Bùi Thị Xuân ( thửa 67 tờ 2)</t>
  </si>
  <si>
    <t>PL2; XIII-1.2;
QĐ 65</t>
  </si>
  <si>
    <t>Trụ BTCT: KT=2*0,15*0,15*9 trụ</t>
  </si>
  <si>
    <t>PL2; XIV-5;
QĐ 65</t>
  </si>
  <si>
    <t>Hàng rào bờ lô kín: DT=0,7*12,8+17,6*0,7</t>
  </si>
  <si>
    <t>Dừa cao &gt; 10m: 1 cây</t>
  </si>
  <si>
    <t>Tre d=5 - 7: 95 cây</t>
  </si>
  <si>
    <t>Bà Hồ Thị Mây. Đ/c: 176 Bùi Thị Xuân ( thửa 54 tờ 02). 0395065816</t>
  </si>
  <si>
    <t>Chuối chăm sóc: 7 cây</t>
  </si>
  <si>
    <t>Chuối thu hoạch: 28 cây</t>
  </si>
  <si>
    <t>Tre d=7: 65 cây</t>
  </si>
  <si>
    <t>Trụ bê tông: KT=0,1*0,1*2,2*5 trụ</t>
  </si>
  <si>
    <t>B40: DT=15,6*1,8</t>
  </si>
  <si>
    <t>PL2; XIII-3.5;
QĐ 65</t>
  </si>
  <si>
    <t>Cửa sắt hỗn hợp: DT=1,8*1,1</t>
  </si>
  <si>
    <t>Ông, bà Phan Nam Lộc - Phan Nam Khánh. Đ/c: 169 Bùi Thị Xuân ( thửa 53 tờ 02). 0935620602</t>
  </si>
  <si>
    <t>m</t>
  </si>
  <si>
    <t>PL2; VII-1.1;
QĐ 65</t>
  </si>
  <si>
    <t>Di  chuyển nước ống dựa phi &lt;40: 35m</t>
  </si>
  <si>
    <t>B-IV.1, 
QĐ 11</t>
  </si>
  <si>
    <t>Cây cảnh trên đất: DT=0,2*2,4</t>
  </si>
  <si>
    <t>Si d=3: 1 cây</t>
  </si>
  <si>
    <t>PL2; XI-9;
QĐ 65</t>
  </si>
  <si>
    <t>Nền terazo: DT=4,3*0,3+6,8*0,5</t>
  </si>
  <si>
    <t>Khối xây bờ lô: KT=4,3*0,3*0,2+6,8*0,5*0,3</t>
  </si>
  <si>
    <t>Mái che tôn, đỡ sắt, trụ sắt: DT=6,8*1,2</t>
  </si>
  <si>
    <t>Ông Hồ Minh Quang</t>
  </si>
  <si>
    <t>Móng xây bờ lô, nền xi măng: KT=1,7*5*2</t>
  </si>
  <si>
    <t>B40: DT=5*0,8</t>
  </si>
  <si>
    <t>Mái che tôn, đỡ sắt, trụ sắt: DT=2,4*5</t>
  </si>
  <si>
    <t>Bà Huỳnh Thị Ni. Đ/c: 6/212 Bùi Thị Xuân (thửa 61 tờ 02). 0376747713</t>
  </si>
  <si>
    <t>Kè xây bờ lô: KT=6*0,2*2+5*1*0,2</t>
  </si>
  <si>
    <t>Hàng rào xây bơ lô kín: DT=22*0,3</t>
  </si>
  <si>
    <t>PL2; X-5;
QĐ 65</t>
  </si>
  <si>
    <t>Chuồng gà thô sơ: DT=4,2*1,6*2</t>
  </si>
  <si>
    <t>Sân xi măng: DT=4,9*5,4</t>
  </si>
  <si>
    <t>Mái che tôn, đỡ sắt, trụ sắt: DT=6,2*5,6</t>
  </si>
  <si>
    <t>Ông, bà Võ Văn Linh - Nguyễn Thị Chi. Đ/c: 8/8/190 Bùi Thị Xuân ( thửa 64 tờ 02). 0935695837</t>
  </si>
  <si>
    <t>Cây lấy củi d=10-15: 5 cây</t>
  </si>
  <si>
    <t>Vã thu hoạch: 1 cây</t>
  </si>
  <si>
    <t>Tre d=7: 205 cây</t>
  </si>
  <si>
    <t>Chuối chăm sóc: 45 cây</t>
  </si>
  <si>
    <t>Chuối thu hoạch: 60 cây</t>
  </si>
  <si>
    <t>Nguyễn Phúc Truyền. Đ/c: 2/340 Bùi Thị Xuân</t>
  </si>
  <si>
    <t>Sanh d=5: 2 cây</t>
  </si>
  <si>
    <t>Hàng rào sắt ống. DT =1,1*3</t>
  </si>
  <si>
    <t>Vú sữa d=7: 2 cây</t>
  </si>
  <si>
    <t>Gỗ xưa đỏ d=30. 1 cây</t>
  </si>
  <si>
    <t>Gỗ xưa đỏ d=25. 1 cây</t>
  </si>
  <si>
    <t>Sân xi măng nằm ngoài diện tích thu hồi: DT =7*2,1</t>
  </si>
  <si>
    <t>Bể cá xây bờ lô: KT =2,95*0,9*0,4</t>
  </si>
  <si>
    <t>Sân gạch men. DT =7,5*2,9</t>
  </si>
  <si>
    <t>Hàng rào sắt hộp. DT =10,6*1,5</t>
  </si>
  <si>
    <t>Hàng rào xây bờ lô kín. DT =8,1*2,5*0,75+10,6*1</t>
  </si>
  <si>
    <t>Trụ BTCT. KT =0,3*0,3*2,5*3</t>
  </si>
  <si>
    <t>Lê Quang Nhật. Đ/c: 5/212 Bùi Thị Xuân</t>
  </si>
  <si>
    <t>Cây khế d=10cm: 2 cây</t>
  </si>
  <si>
    <t>m2</t>
  </si>
  <si>
    <t>Lá lốt dt=7m2</t>
  </si>
  <si>
    <t>Cây sung d=50-70cm: 2 cây</t>
  </si>
  <si>
    <t>Cây mưng d=20-30cm: 1 cây</t>
  </si>
  <si>
    <t>Cây xoài d=10-20cm: 1 cây</t>
  </si>
  <si>
    <t>Cây bơ d=15cm: 03 cây</t>
  </si>
  <si>
    <t>Cây dừa h&lt;10m:  2 cây</t>
  </si>
  <si>
    <t>Sầu đông d=20cm: 1 cây</t>
  </si>
  <si>
    <t>Cây chuối thu hoạch: 20 cây</t>
  </si>
  <si>
    <t>Cây Tre d=7cm: 927 cây</t>
  </si>
  <si>
    <t>Mứt d=5cm: 7 cây</t>
  </si>
  <si>
    <t>Mứt d=10cm: 5 cây</t>
  </si>
  <si>
    <t>Cây cau h&gt;10m: 24 cây</t>
  </si>
  <si>
    <t>Mít d=10-20cm: 01 cây</t>
  </si>
  <si>
    <t>Mít d=30-50cm: 01 cây</t>
  </si>
  <si>
    <t>Mít d=70cm: 1 cây</t>
  </si>
  <si>
    <r>
      <t>m</t>
    </r>
    <r>
      <rPr>
        <vertAlign val="superscript"/>
        <sz val="10"/>
        <color indexed="62"/>
        <rFont val="Times New Roman"/>
        <family val="1"/>
      </rPr>
      <t>2</t>
    </r>
  </si>
  <si>
    <t>K3, Đ28, QĐ 36</t>
  </si>
  <si>
    <t xml:space="preserve">Hỗ trợ đất đối với đất nông nghiệp liền kề đất </t>
  </si>
  <si>
    <t xml:space="preserve">QĐ 80; 
</t>
  </si>
  <si>
    <t>Bồi thường đất nông nghiệp liền kề đất ở  Bùi Thị Xuân, vị trí 1, loại 4B đoạn từ Cầu lòn đường sắt đến Huyền Trân Công Chúa.</t>
  </si>
  <si>
    <t>Lương Thị Xuyến. Đ/c: 7/328 Bùi Thị Xuân ( 39 tờ 3)</t>
  </si>
  <si>
    <t>Thần Tài d=5-7: 2 cây</t>
  </si>
  <si>
    <t>B40. DT =4*1,2*2</t>
  </si>
  <si>
    <t>PL2; XIV-4;
QĐ 65</t>
  </si>
  <si>
    <t>Hàng rào xây thoáng. DT =4*1,5*2</t>
  </si>
  <si>
    <t>Trụ BTCT: KT =0,35*0,35*1,5*2 trụ</t>
  </si>
  <si>
    <t>Nguyễn Văn Nhuận - Nguyễn Thị Thương. Đ/c: 362/87/18 Phan Huy Ích,p 12. Tp HCM</t>
  </si>
  <si>
    <t>cây cảnh trên đất : 100 cây</t>
  </si>
  <si>
    <t>ổi d=5cm: 1 cây</t>
  </si>
  <si>
    <t>Thanh long: 20 choái</t>
  </si>
  <si>
    <t>Hàng rào bờ lô kín: DT=15*1.5</t>
  </si>
  <si>
    <t>Cây Tre d=7cm: 285 cây</t>
  </si>
  <si>
    <t>Chuối chăm sóc: 25 cây</t>
  </si>
  <si>
    <t>Cây chuối thu hoạch: 120 cây</t>
  </si>
  <si>
    <t>bưởi tán 3m d=15cm: 1 cây</t>
  </si>
  <si>
    <t>bưởi tán 3m d=20cm: 1 cây</t>
  </si>
  <si>
    <t>Mứt d=25cm: 5 cây</t>
  </si>
  <si>
    <t>Mứt d=40cm: 2 cây</t>
  </si>
  <si>
    <t>B-I.19, 
QĐ 11</t>
  </si>
  <si>
    <t>Vả chăm thu hoạch: d=25cm: 1 cây</t>
  </si>
  <si>
    <t>(Không bồi thường 214.4m2, nằm ngoài giấy chứng  nhận)</t>
  </si>
  <si>
    <t xml:space="preserve">Bà Trần Thị Hồng và các đồng thừa kế của ông Đỗ Hữu Phó. Đ/c:  2 kiệt 350 Bùi Thị Xuân. </t>
  </si>
  <si>
    <t>Cây lấy củi d=25: 2 cây</t>
  </si>
  <si>
    <t>Sầu đông. D=30 : 2 cây</t>
  </si>
  <si>
    <t>Chuối thu hoạch: 240 cây</t>
  </si>
  <si>
    <t>Hàng rào xây bờ lô kín. DT =48*2,05</t>
  </si>
  <si>
    <t>Ông, bà Nguyễn Tạ Hiền - Nguyễn Thị Chi. Đ/c: 36 Đống Đa (K340 Bùi Thị Xuân)</t>
  </si>
  <si>
    <t>đ/cây</t>
  </si>
  <si>
    <t>III.b.1.</t>
  </si>
  <si>
    <t>Tràm d=30cm: 1 cây</t>
  </si>
  <si>
    <t>III.b.47</t>
  </si>
  <si>
    <t>Sầu đông d=30cm: 4 cây</t>
  </si>
  <si>
    <t>IV.1</t>
  </si>
  <si>
    <t>Sung d=30cm: 1 cây</t>
  </si>
  <si>
    <t>cây</t>
  </si>
  <si>
    <t>III.37</t>
  </si>
  <si>
    <t>Mứt d=20cm: 1 cây</t>
  </si>
  <si>
    <t>II.8</t>
  </si>
  <si>
    <t>Mít d=30cm: 1 cây</t>
  </si>
  <si>
    <t>B.I.1</t>
  </si>
  <si>
    <t>Chuối chăm sóc: 40 cây</t>
  </si>
  <si>
    <t>B.I.2</t>
  </si>
  <si>
    <t>Chuối thu hoạch: 120 cây</t>
  </si>
  <si>
    <t>III.42</t>
  </si>
  <si>
    <t>Cây dương d=15cm: 1 cây</t>
  </si>
  <si>
    <t>Cây dương d=30cm: 3 cây</t>
  </si>
  <si>
    <t>II.3</t>
  </si>
  <si>
    <t>Cây nhãn d=40cm : 1 cây</t>
  </si>
  <si>
    <t>công trình</t>
  </si>
  <si>
    <t>Điểm a, Khoản 2 Điều 33 Quyết định 50</t>
  </si>
  <si>
    <t>Hỗ trợ thêm khoản tiền tính bằng 30% theo giá trị hiện có của công trình</t>
  </si>
  <si>
    <r>
      <t>đ/m</t>
    </r>
    <r>
      <rPr>
        <vertAlign val="superscript"/>
        <sz val="10"/>
        <color indexed="8"/>
        <rFont val="Times New Roman"/>
        <family val="1"/>
      </rPr>
      <t>3</t>
    </r>
  </si>
  <si>
    <t>QĐ 65 PL 2, XIII, 1, 1.2</t>
  </si>
  <si>
    <t>Trụ BTCT KT=0.2*0.2*1.2</t>
  </si>
  <si>
    <r>
      <t>đ/m</t>
    </r>
    <r>
      <rPr>
        <vertAlign val="superscript"/>
        <sz val="11"/>
        <color indexed="8"/>
        <rFont val="Times New Roman"/>
        <family val="1"/>
      </rPr>
      <t>3</t>
    </r>
  </si>
  <si>
    <t>XVIII. 1</t>
  </si>
  <si>
    <t>Kè xây đá hộc: KT=47mx1.8mx0.3m</t>
  </si>
  <si>
    <t>đ/m²</t>
  </si>
  <si>
    <t>QĐ 65, PL 02, IV, 2, 2.3</t>
  </si>
  <si>
    <t>Mái che tôn, trụ sắt: DT=40*1</t>
  </si>
  <si>
    <t>QĐ 65, PL 2, XI,2</t>
  </si>
  <si>
    <t>Nền xi măng DT=5.5*1.5</t>
  </si>
  <si>
    <r>
      <t>đ/m</t>
    </r>
    <r>
      <rPr>
        <sz val="10"/>
        <color indexed="8"/>
        <rFont val="Arial"/>
        <family val="2"/>
      </rPr>
      <t>²</t>
    </r>
  </si>
  <si>
    <t>Hàng rào xây bờ lô kín DT=2*2+20.5*1.2</t>
  </si>
  <si>
    <t>XV. 3</t>
  </si>
  <si>
    <t>Bể chứa nước xây blo: KT=4*3.5*6</t>
  </si>
  <si>
    <t>PL2,I, 3</t>
  </si>
  <si>
    <t>Nhà vệ sinh riêng biệt, mái che tôn, nền gạch, tường xây blo:
DT=2.5*1.5</t>
  </si>
  <si>
    <t>PL1.6.18</t>
  </si>
  <si>
    <t>La phong nhựa Dt=5.8*5.8</t>
  </si>
  <si>
    <t xml:space="preserve">QĐ 65, PL 01, 6,16 </t>
  </si>
  <si>
    <t>Laphong tôn DT=5.8*5.6*2</t>
  </si>
  <si>
    <t>PL1.6.2</t>
  </si>
  <si>
    <t>Sân lát đá granit vỉa hè: Dt: 2.2*8.2</t>
  </si>
  <si>
    <t>Be đúc BTCT: DT=14.3*0.6*0.2</t>
  </si>
  <si>
    <t>I, 3, 3.1, b</t>
  </si>
  <si>
    <t>Nhà cấp IV, móng BTCT kết hợp xây gạch đá, cột BTCT, tường gạch, mái  ngói + tôn, nền xi măng, không có khu phụ: 
( chừ chênh lệch giữa nền gạch men và xi măng) 
DT=6.1mx8.2m</t>
  </si>
  <si>
    <t xml:space="preserve">QĐ 65, PL 01, 6,15 </t>
  </si>
  <si>
    <t>La phong thạch cao DT=8*6</t>
  </si>
  <si>
    <t>Nhà cấp IV, móng BTCT kết hợp xây gạch đá, cột BTCT, tường gạch, mái  ngói + tôn, nền lát gạch, không có khu phụ:
DT=6.1mx8.2m</t>
  </si>
  <si>
    <t>Đất công do UBND phường Phường Đúc quản lý không bồi thường.</t>
  </si>
  <si>
    <t>Cty cổ phần khai thác đá ( ông Ân đại diện). Đ/c: 212 Bùi Thị Xuân</t>
  </si>
  <si>
    <t>Chuối chăm sóc: 15 cây</t>
  </si>
  <si>
    <t>Chuối thu hoạch: 15 cây</t>
  </si>
  <si>
    <t>B-III.27b, 
QĐ 11</t>
  </si>
  <si>
    <t>Tràm d=15: 10 cây</t>
  </si>
  <si>
    <t>Tràm d=5-7: 19 cây</t>
  </si>
  <si>
    <t>B-III.47b, 
QĐ 11</t>
  </si>
  <si>
    <t>Thầu đâu d=20: 4 cây</t>
  </si>
  <si>
    <t>Sung d=50: 1 cây</t>
  </si>
  <si>
    <t>Sanh d=25: 2 cây</t>
  </si>
  <si>
    <t>B-II.8, 
QĐ 11</t>
  </si>
  <si>
    <t>Thị d=50: 1 cây</t>
  </si>
  <si>
    <t>Sân xi măng: DT=1,6*2+4,2*0,7</t>
  </si>
  <si>
    <t>Tường rào xây bờ lô kín: DT=5,2*0,05+3,2*0,6</t>
  </si>
  <si>
    <t>Trụ đổ BTCT: KT=0,4*0,4*2*2 trụ+0,4*0,4*1,3*2 trụ</t>
  </si>
  <si>
    <t>Ông Tôn Thất Hồng Hải ( Đại diện am Tiền Tã). Đ/c: Kiệt 302 Bùi Thị Xuân ( thửa 26 tờ 03). 0778016395</t>
  </si>
  <si>
    <t>Cây lấy củi d=15: 5 cây</t>
  </si>
  <si>
    <t>Trụ BTCT: KT=0,35*0,35*1,8*8 trụ</t>
  </si>
  <si>
    <t>Tường rào xây bờ lô kín: DT=13,6*1,6</t>
  </si>
  <si>
    <t>Phê duyệt bổ sung sau</t>
  </si>
  <si>
    <t>Ăng ten trạm quản lý tầu cá: 1</t>
  </si>
  <si>
    <t>Đoanh đúc BTCT: KT=0,2*0,05*0,6</t>
  </si>
  <si>
    <t>A-19, 
QĐ 11</t>
  </si>
  <si>
    <t>Môn: 3m2</t>
  </si>
  <si>
    <t>B-IV.3, 
QĐ 11</t>
  </si>
  <si>
    <t>Đinh lăng d=3: 2 cây</t>
  </si>
  <si>
    <t>Cau cao 6m: 1 cây</t>
  </si>
  <si>
    <t>Mưng d=2: 2 cây</t>
  </si>
  <si>
    <t>Chuối thu hoạch: 102 cây</t>
  </si>
  <si>
    <t>B40: DT=7,2*1,6+10,2*1,2+13,6*1,2</t>
  </si>
  <si>
    <t>Tường rào xây bờ lô thoáng: DT=(3,3+3)*0,9+1,6*4,6</t>
  </si>
  <si>
    <t>Trụ BTCT: KT=0,25*0,25*2,5* 4 trụ+0,25*0,25*2,5*2 trụ</t>
  </si>
  <si>
    <t>Chi cục thủy sản Tỉnh Thừa Thiên Huế. Đ/c: 148 Bùi Thị Xuân ( thửa 65 tờ 01). 02343825552</t>
  </si>
  <si>
    <t>Chuối thu hoạch: 325 cây</t>
  </si>
  <si>
    <t>B-III.57b, 
QĐ 11</t>
  </si>
  <si>
    <t>Trứng cá d=15cm: 3 cây</t>
  </si>
  <si>
    <t>Tràm d=25cm: 2 cây</t>
  </si>
  <si>
    <t>Sầu đông d=3cm: 17 cây</t>
  </si>
  <si>
    <t>Sầu đông d=5cm: 6 cây</t>
  </si>
  <si>
    <t>Sầu đông d=20cm: 8 cây</t>
  </si>
  <si>
    <t>PL2; XIV-3;
QĐ 65</t>
  </si>
  <si>
    <t>Hàng rào sắt cây: DT=6,75*0,8*2</t>
  </si>
  <si>
    <t>Đoanh đúc BTCT: KT=8,5*0,8*0,12</t>
  </si>
  <si>
    <t>PL2; XV-3;
QĐ 65</t>
  </si>
  <si>
    <t>Bể xử lý nước, Đúc BTCT: KT=6,75*5*3,5 dày 0,4</t>
  </si>
  <si>
    <t>PL2; I-5;
QĐ 65</t>
  </si>
  <si>
    <t>Nhà vệ sinh riêng biệt, tường xây bơ lô, nền xi măng, mái boro xi măng: DT=3,2*2,1</t>
  </si>
  <si>
    <t>PL1; 6-16;
QĐ 65</t>
  </si>
  <si>
    <t>Ốp tôn: KT=3,3*1</t>
  </si>
  <si>
    <t>Trụ BTCT: KT=0,35*0,35*2,8*4 trụ</t>
  </si>
  <si>
    <t>Hàng rào xây bờ lô kín: DT=15,8*3,5+40,4*1,8+4,5*1,5+9*2,8+6,75*0,8</t>
  </si>
  <si>
    <t>Công Ty CP An Phú Tây ( ông Hồ Công Điền ). Đ/c: 148 Bùi Thị Xuân ( thửa 56 tờ 01). 0912033164</t>
  </si>
  <si>
    <t>PL1; 1-3.2b;
QĐ 65</t>
  </si>
  <si>
    <t>Nhà cấp IV, móng BT, cột BTCT, tường xây bờ lô chụi lực, mái tôn, nền gạch men, không có khu phụ: DT=6,9m*3m</t>
  </si>
  <si>
    <t>Nhà cấp IV, 3,2, không khu phụ, nhà móng BT, cột BTCT, tường xây bờ lô chụi lực, mái tôn, nền gạch men: DT=6,9m*3m</t>
  </si>
  <si>
    <t>Trung tâm phát triển quỷ đất Tỉnh ( Đại diện Dương Đăng Trường Khánh). Đ/c: Kiệt 104 Bùi Thị Xuân ( thửa 31 tờ 01). 0913427096</t>
  </si>
  <si>
    <t>21e</t>
  </si>
  <si>
    <t>B-II.2, 
QĐ 11</t>
  </si>
  <si>
    <t>Cây bưởi chăm sóc: 1 cây</t>
  </si>
  <si>
    <t>Cây bàng đài loan d=7cm: 4 cây</t>
  </si>
  <si>
    <t>Cây osaka d=10cm: 5 cây</t>
  </si>
  <si>
    <t>B-III.38b, 
QĐ 11</t>
  </si>
  <si>
    <t>Cây Hoàng Yến d=10cm: 5 cây</t>
  </si>
  <si>
    <t>B-I.10, 
QĐ 11</t>
  </si>
  <si>
    <t>Cây đu đủ thu hoạch: 2 cây</t>
  </si>
  <si>
    <t>Cây khế d=15cm: 1 cây</t>
  </si>
  <si>
    <t>Cây sầu đông d=25cm: 1 cây</t>
  </si>
  <si>
    <t>Cây vú sữa d=30cm: 1 cây</t>
  </si>
  <si>
    <t>B-II.3, 
QĐ 11</t>
  </si>
  <si>
    <t>Cây nhãn d=30cm : 1 cây</t>
  </si>
  <si>
    <t>Cây khế d=25cm: 1 cây</t>
  </si>
  <si>
    <t>Cây dừa cao &gt;10: 3 cây</t>
  </si>
  <si>
    <t>Cây sung d=40cm: 2 cây</t>
  </si>
  <si>
    <t>Lưới B40: DT=19*2</t>
  </si>
  <si>
    <t>Trụ BTCT: KT=0,25m*0,25m*1,6m*8 trụ</t>
  </si>
  <si>
    <t>Tường rào xây bờ lô kín: DT=0,5m*1,8m</t>
  </si>
  <si>
    <t xml:space="preserve"> Nhà học tập cộng đồng ( ông La Phong đại diện ). Đ/c: 108 Bùi Thị Xuân ( thửa 30). 0934939833</t>
  </si>
  <si>
    <t>Cây hồng lộc ( lộc vừng) d=3cm: 2 cây</t>
  </si>
  <si>
    <t>Cây cảnh trên đất: 10m2</t>
  </si>
  <si>
    <t>Cây thần tài d=5cm: 1 cây</t>
  </si>
  <si>
    <t>A-33, 
QĐ 11</t>
  </si>
  <si>
    <t>Cây râu khoai: 10m2</t>
  </si>
  <si>
    <t>A-34, 
QĐ 11</t>
  </si>
  <si>
    <t>Cây sả 5m2</t>
  </si>
  <si>
    <t>A-31, 
QĐ 11</t>
  </si>
  <si>
    <t>Cây ớt: 10 cây</t>
  </si>
  <si>
    <t>Cây chuối thu hoạch: 54 cây</t>
  </si>
  <si>
    <t>Cây sung d=15cm: 1 cây</t>
  </si>
  <si>
    <t>PL1; 6-18;
QĐ 65</t>
  </si>
  <si>
    <t>La phong nhựa: DT=10,1m*5,5m</t>
  </si>
  <si>
    <r>
      <t>m</t>
    </r>
    <r>
      <rPr>
        <vertAlign val="superscript"/>
        <sz val="12"/>
        <color indexed="62"/>
        <rFont val="Times New Roman"/>
        <family val="1"/>
      </rPr>
      <t>3</t>
    </r>
  </si>
  <si>
    <t>PL2; XVIII-1;
QĐ 65</t>
  </si>
  <si>
    <t>Kè xây đá hộc: DT=11m*1m*0,3m+4,4m*1m*0,3m</t>
  </si>
  <si>
    <t>PL1; 7-10;
QĐ 65</t>
  </si>
  <si>
    <t>Bậc cấp xây bờ lô: KT=3,45m*0,5m*0,25m*12 bậc+8,2m*0,2m*0,3m</t>
  </si>
  <si>
    <t>PL2; XIII-3.3;
QĐ 65</t>
  </si>
  <si>
    <t>Cửa sắt hỗn hợp: DT=1,6m*2m</t>
  </si>
  <si>
    <t>Trụ cổng đổ bê tông: KT=0,3m*0,3m*2,8m</t>
  </si>
  <si>
    <t>Sân xi măng: DT=4,2m*1,85m+4,8m*1,4m</t>
  </si>
  <si>
    <r>
      <t>m</t>
    </r>
    <r>
      <rPr>
        <vertAlign val="superscript"/>
        <sz val="14"/>
        <color indexed="62"/>
        <rFont val="Times New Roman"/>
        <family val="1"/>
      </rPr>
      <t>2</t>
    </r>
  </si>
  <si>
    <t>Ốp tôn: DT=(7,5m+4,5m)*1,5m</t>
  </si>
  <si>
    <t>Sân terazo: DT=7,7m*10m+5,6m*4,5m</t>
  </si>
  <si>
    <t>Mái che tôn, đỡ sắt, trụ sắt: DT=7,9m*8,3m</t>
  </si>
  <si>
    <t>Hàng rào bơ lô kín: DT= 4,7m*2m+2,5m*2m+18m*1,6m+5m*0,3m</t>
  </si>
  <si>
    <t>PL2; XIII-2.3;
QĐ 65</t>
  </si>
  <si>
    <t>Ốp men tường, bếp, vệ sinh: DT= 16m*1,35m</t>
  </si>
  <si>
    <t>PL1; 1-2.2b;
QĐ 65</t>
  </si>
  <si>
    <t>Nhà cấp III, 3 tầng, nhà khung BTCT, kết hợp xây gạch đá, tường gạch, mái tôn, nền lát gạch: DT tầng 1: 13,8m*7,7m. DT tầng 2: 13,8m*7,7m. DT tầng 3: 13,8m*7,7m</t>
  </si>
  <si>
    <t>Công ty cổ phần đường thủy nội địa thừa thiên Huế ( Lê Viết Trà ). Đ/c: 82 Bùi Thị Xuân ( thửa 19 tờ 01). 0913465224</t>
  </si>
  <si>
    <t>QĐ 65 - PL 02
XIV,2</t>
  </si>
  <si>
    <t>Hàng rào sắt ống DT=2.9*0.25+3.1*1.45</t>
  </si>
  <si>
    <t>Hàng rào bờ lô kín: Dt = 2.9*1.8+3.1*0.6</t>
  </si>
  <si>
    <t>Trụ BTCT Kt: 0.3*0.3*2.2*2 trụ</t>
  </si>
  <si>
    <t>UBND phường Phường Đúc ( ông Huỳnh Ngọc Dũng đại diện). Đ/c: 212 Bùi Thị Xuân</t>
  </si>
  <si>
    <t>9=5 x 6 x 7 x 8</t>
  </si>
  <si>
    <t>6</t>
  </si>
  <si>
    <t>3</t>
  </si>
  <si>
    <t>2</t>
  </si>
  <si>
    <t>KIỂM TRA</t>
  </si>
  <si>
    <t>Ghi chú</t>
  </si>
  <si>
    <t>Thành tiền (đồng)</t>
  </si>
  <si>
    <t>Hệ số điều chỉnh</t>
  </si>
  <si>
    <t>Tỷ lệ BT,
HT (%)</t>
  </si>
  <si>
    <t>Đơn giá (đồng)</t>
  </si>
  <si>
    <t>Số lượng</t>
  </si>
  <si>
    <t>Giá trị bồi thường, hỗ trợ</t>
  </si>
  <si>
    <t>ĐVT</t>
  </si>
  <si>
    <t>Mã số</t>
  </si>
  <si>
    <t>Đối tượng được bồi thường, 
hỗ trợ</t>
  </si>
  <si>
    <t>Số TTHS</t>
  </si>
  <si>
    <t>Số TT</t>
  </si>
  <si>
    <t>(Kèm theo Tờ trình số        /TTr-TTPTQĐ ngày       /12/2023 của Trung tâm Phát triển quỹ đất 
thành phố Huế)</t>
  </si>
  <si>
    <t xml:space="preserve">
PHỤ LỤC 1: PHƯƠNG ÁN  BỒI THƯỜNG, HỖ TRỢ VỀ ĐẤT VÀ TÀI SẢN TRÊN ĐẤT CỦA CÁC HỘ GIA ĐÌNH, CÁ NHÂN KHI NHÀ NƯỚC THU HỒI ĐẤT THỰC HIỆN DỰ ÁN  DỰ ÁN ĐƯỜNG ĐI BỘ ĐOẠN TỪ CẦU LÒN ĐẾN HUYỀN TRÂN CÔNG CHÚA, THÀNH PHỐ HUẾ </t>
  </si>
  <si>
    <t xml:space="preserve">
PHỤ LỤC 3: THU HỒI ĐẤT CÁC HỘ GIA ĐÌNH, CÁ NHÂN KHI NHÀ NƯỚC THU HỒI ĐẤT THỰC HIỆNDỰ ÁN  DỰ ÁN ĐƯỜNG ĐI BỘ ĐOẠN TỪ CẦU LÒN ĐẾN HUYỀN TRÂN CÔNG CHÚA, THÀNH PHỐ HUẾ </t>
  </si>
  <si>
    <t>(Kèm theo Tờ trình số        /TTr-TTPTQĐ ngày       /10/2023 của Trung tâm Phát triển quỹ đất 
thành phố Huế)</t>
  </si>
  <si>
    <t>STT</t>
  </si>
  <si>
    <t>Tên chủ sử dụng</t>
  </si>
  <si>
    <t>BĐĐC</t>
  </si>
  <si>
    <t>BĐ GPMB</t>
  </si>
  <si>
    <t>Loại đất</t>
  </si>
  <si>
    <t>TT</t>
  </si>
  <si>
    <t xml:space="preserve">HS </t>
  </si>
  <si>
    <t>Số thửa</t>
  </si>
  <si>
    <t>Tờ BĐ</t>
  </si>
  <si>
    <t>Số tờ BĐ</t>
  </si>
  <si>
    <t>Diện tích</t>
  </si>
  <si>
    <t>DTTH</t>
  </si>
  <si>
    <t>DTCL</t>
  </si>
  <si>
    <t>Ông Hoàng Như Phô và các đồng thừa kế ông, bà Hòa Hoàng - Nguyễn Thị Hoa; Đ/c: 72 Bùi Thị Xuân. 0986368147</t>
  </si>
  <si>
    <t>ODT</t>
  </si>
  <si>
    <t>Bà Tôn Nữ Mỹ Ý; Đ/c: 86 Bùi Thị Xuân. 0388621648</t>
  </si>
  <si>
    <t>Ông Lâm Thành Tri và các đồng thừa kế ông, bà Lâm Thành Tham - Hồ Thị Nghính; Đ/c:  88 Bùi Thị Xuân. 0905494896</t>
  </si>
  <si>
    <t>Ông, bà Nguyễn Trân Phương - Hoàng Thị Dậu; Đ/c: 102 Bùi Thị Xuân. 0903843751</t>
  </si>
  <si>
    <t>Ông, bà Lê Thị Ngọc Chấn - Trần Ngọc Thanh; Đ/c: 98 Bùi Thị Xuân. 0945503639</t>
  </si>
  <si>
    <t>Ông, bà Ngô Đình Quang - Tôn Nữ Thiện Lập; Đ/c: 17 kiệt 134 Bùi Thị Xuân. 0376212306</t>
  </si>
  <si>
    <t>Ông, bà Lê Tiến Dũng - Đỗ Thị Quyên; Đ/c: 19/134 Bùi Thị Xuân. 0338283338</t>
  </si>
  <si>
    <t>Ông, bà Nguyễn Xuân Long - Ngô Thị Lệ Thu; Đ/c: 25/134 Bùi Thị Xuân. 0934979146</t>
  </si>
  <si>
    <t>Ông, bà Nguyễn Hữu Bổng - Nguyễn Thị Nga; Đ/c: 126 Bùi Thị Xuân. 0906470405</t>
  </si>
  <si>
    <t>Ông, bà Lê Ngọc Thành - Huỳnh Thị Như Ý; Đ/c: 15/134 Bùi Thị Xuân. 0901995099</t>
  </si>
  <si>
    <t>Bà Lê Thị Mừng; Đ/c: 154 Bùi Thị Xuân</t>
  </si>
  <si>
    <t>Ông, bà Lê Hữu Hiền - Trương Thị Lập; Đ/c: 2/78 Mai Thúc Loan.</t>
  </si>
  <si>
    <t>ông, bà Trần Hồng Vũ - Nguyễn Thị Tuyết; Đ/c: 16/17 Kiệt 292 Bùi Thị Xuân</t>
  </si>
  <si>
    <t>Bà Lê Thị Hồng các đồng thừa kế ông Nguyễn Văn Anh; Đ/c: 16/3 kiệt 292 Bùi Thị Xuân.</t>
  </si>
  <si>
    <t xml:space="preserve">Ông Hà Hai và các đồng thừa kế bà Nguyễn Thị Sen. Đ/c: 16/5 kiệt 292 Bùi Thị Xuân </t>
  </si>
  <si>
    <t xml:space="preserve">9+10 </t>
  </si>
  <si>
    <t>Bà Trần Thị Phường và các đồng thừa kế ông Hà Văn Mát; Đ/c: 16/7 Kiệt 292 Bùi Thị Xuân.</t>
  </si>
  <si>
    <t>12+13</t>
  </si>
  <si>
    <t>Bà Trần Thị Mơ và các đồng thừa kế của ông Dương Văn Châu. Đ/c: 16/9 Kiệt 292 Bùi Thị Xuân</t>
  </si>
  <si>
    <t>14+15</t>
  </si>
  <si>
    <t>Ông, bà Phan Văn Bông - Phan Thị Lệ Thủy; Đ/c: 16/9 kiệt 292 Bùi Thị Xuân.</t>
  </si>
  <si>
    <t>Ông, bà Hồ Văn Truyền - Trần Hồng Lan; Đ/c: 30 Lịch Đợi</t>
  </si>
  <si>
    <t>Ông Trần Văn Hiền và các đồng thừa kế ông, bà Trần Lập - Nguyễn Thị Cháu; Đ/c: 16/15 Kiệt 292 Bùi Thị Xuân.</t>
  </si>
  <si>
    <t>Lê Văn Mến - Trần Thị Hường; Đ/c: 16/1 Kiệt 292 Bùi Thị Xuân</t>
  </si>
  <si>
    <t>Tổng</t>
  </si>
  <si>
    <t>F</t>
  </si>
  <si>
    <t>Ông, bà Lê Bá Điều- Trần Thị Điều; Đ/c: 96 Bùi Thị Xuân. 0944719046</t>
  </si>
  <si>
    <t xml:space="preserve"> Nhà thờ Chi 2B Lê Bá -  bà Trần Thị Điều đại diện; Đ/c: 96 Bùi Thị Xuân. 0944719046</t>
  </si>
  <si>
    <t>TIN</t>
  </si>
  <si>
    <t>Ông, bà Trần Đại Việt - Trần Thị Dung; Đ/c: 27 Kiệt 134 Bùi Thị Xuân. 0934116763</t>
  </si>
  <si>
    <r>
      <t>m</t>
    </r>
    <r>
      <rPr>
        <vertAlign val="superscript"/>
        <sz val="10"/>
        <color indexed="8"/>
        <rFont val="Times New Roman"/>
        <family val="1"/>
      </rPr>
      <t>2</t>
    </r>
  </si>
  <si>
    <t>Bồi thường đất ở  Bùi Thị Xuân, vị trí 2, loại 4B đoạn từ Cầu lòn đường sắt đến Huyền Trân Công Chúa.</t>
  </si>
  <si>
    <t>III.B.47</t>
  </si>
  <si>
    <t>IV.4</t>
  </si>
  <si>
    <r>
      <t>m</t>
    </r>
    <r>
      <rPr>
        <vertAlign val="superscript"/>
        <sz val="12"/>
        <color theme="1"/>
        <rFont val="Times New Roman"/>
        <family val="1"/>
      </rPr>
      <t>2</t>
    </r>
  </si>
  <si>
    <r>
      <t>m</t>
    </r>
    <r>
      <rPr>
        <vertAlign val="superscript"/>
        <sz val="14"/>
        <color theme="1"/>
        <rFont val="Times New Roman"/>
        <family val="1"/>
      </rPr>
      <t>2</t>
    </r>
  </si>
  <si>
    <r>
      <t>m</t>
    </r>
    <r>
      <rPr>
        <vertAlign val="superscript"/>
        <sz val="12"/>
        <color theme="1"/>
        <rFont val="Times New Roman"/>
        <family val="1"/>
      </rPr>
      <t>3</t>
    </r>
  </si>
  <si>
    <r>
      <t>đ/m</t>
    </r>
    <r>
      <rPr>
        <vertAlign val="superscript"/>
        <sz val="10"/>
        <color theme="1"/>
        <rFont val="Times New Roman"/>
        <family val="1"/>
      </rPr>
      <t>3</t>
    </r>
  </si>
  <si>
    <r>
      <t>đ/m</t>
    </r>
    <r>
      <rPr>
        <sz val="10"/>
        <color theme="1"/>
        <rFont val="Arial"/>
        <family val="2"/>
      </rPr>
      <t>²</t>
    </r>
  </si>
  <si>
    <t xml:space="preserve">Tổng cộng:  Mười bốn tỷ, bốn trăm sáu mươi triệu, một trăm sáu mươi mốt nghìn đồng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</si>
</sst>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0.0"/>
    <numFmt numFmtId="165" formatCode="0.0"/>
    <numFmt numFmtId="166" formatCode="0.000"/>
    <numFmt numFmtId="167" formatCode="#,##0;[Red]#,##0"/>
    <numFmt numFmtId="168" formatCode="#,##0.00;[Red]#,##0.00"/>
    <numFmt numFmtId="169" formatCode="#,##0.0;[Red]#,##0.0"/>
    <numFmt numFmtId="170" formatCode="_(* #,##0_);_(* \(#,##0\);_(* &quot;-&quot;??_);_(@_)"/>
    <numFmt numFmtId="171" formatCode="0.0%"/>
    <numFmt numFmtId="172" formatCode="_(* #,##0.00_);_(* \(#,##0.00\);_(* &quot;-&quot;&quot;?&quot;&quot;?&quot;_);_(@_)"/>
    <numFmt numFmtId="173" formatCode="_(* #,##0_);_(* \(#,##0\);_(* &quot;-&quot;&quot;?&quot;&quot;?&quot;_);_(@_)"/>
    <numFmt numFmtId="174" formatCode="#,##0\ &quot;DM&quot;;\-#,##0\ &quot;DM&quot;"/>
    <numFmt numFmtId="175" formatCode="_-* #,##0_-;\-* #,##0_-;_-* &quot;-&quot;_-;_-@_-"/>
    <numFmt numFmtId="176" formatCode="_ &quot;\&quot;* #,##0_ ;_ &quot;\&quot;* \-#,##0_ ;_ &quot;\&quot;* &quot;-&quot;_ ;_ @_ "/>
    <numFmt numFmtId="177" formatCode="_ &quot;\&quot;* #,##0.00_ ;_ &quot;\&quot;* \-#,##0.00_ ;_ &quot;\&quot;* &quot;-&quot;??_ ;_ @_ "/>
    <numFmt numFmtId="178" formatCode="_ * #,##0_ ;_ * \-#,##0_ ;_ * &quot;-&quot;_ ;_ @_ "/>
    <numFmt numFmtId="179" formatCode="_(\$* #,##0.00_);_(\$* \(#,##0.00\);_(\$* &quot;-&quot;??_);_(@_)"/>
    <numFmt numFmtId="180" formatCode="\$#,##0\ ;\(\$#,##0\)"/>
    <numFmt numFmtId="181" formatCode="&quot;\&quot;#,##0;[Red]\-&quot;\&quot;#,##0"/>
    <numFmt numFmtId="182" formatCode="_-* #,##0.0\ _F_-;\-* #,##0.0\ _F_-;_-* &quot;-&quot;??\ _F_-;_-@_-"/>
    <numFmt numFmtId="183" formatCode="_-* #,##0\ _F_-;\-* #,##0\ _F_-;_-* &quot;-&quot;\ _F_-;_-@_-"/>
    <numFmt numFmtId="184" formatCode="#,###,###.00"/>
    <numFmt numFmtId="185" formatCode="#,###,###,###.00"/>
    <numFmt numFmtId="186" formatCode="_-* #,##0.00_-;\-* #,##0.00_-;_-* &quot;-&quot;??_-;_-@_-"/>
    <numFmt numFmtId="187" formatCode="#,###,###"/>
    <numFmt numFmtId="188" formatCode="#,###,###,###.000"/>
    <numFmt numFmtId="189" formatCode="&quot;\&quot;#,##0.00;[Red]&quot;\&quot;\-#,##0.00"/>
    <numFmt numFmtId="190" formatCode="&quot;\&quot;#,##0;[Red]&quot;\&quot;\-#,##0"/>
    <numFmt numFmtId="191" formatCode="_-&quot;$&quot;* #,##0_-;\-&quot;$&quot;* #,##0_-;_-&quot;$&quot;* &quot;-&quot;_-;_-@_-"/>
    <numFmt numFmtId="192" formatCode="_-&quot;$&quot;* #,##0.00_-;\-&quot;$&quot;* #,##0.00_-;_-&quot;$&quot;* &quot;-&quot;??_-;_-@_-"/>
    <numFmt numFmtId="193" formatCode="#,##0.000"/>
  </numFmts>
  <fonts count="106">
    <font>
      <sz val="11"/>
      <color theme="1"/>
      <name val="Calibri"/>
      <family val="2"/>
      <scheme val="minor"/>
    </font>
    <font>
      <sz val="11"/>
      <color theme="1"/>
      <name val="Calibri"/>
      <family val="2"/>
      <scheme val="minor"/>
    </font>
    <font>
      <sz val="12"/>
      <color indexed="8"/>
      <name val="Times New Roman"/>
      <family val="1"/>
    </font>
    <font>
      <sz val="12"/>
      <color rgb="FFFF0000"/>
      <name val="Times New Roman"/>
      <family val="1"/>
    </font>
    <font>
      <sz val="12"/>
      <color indexed="10"/>
      <name val="Times New Roman"/>
      <family val="1"/>
    </font>
    <font>
      <sz val="8"/>
      <color indexed="8"/>
      <name val="Times New Roman"/>
      <family val="1"/>
    </font>
    <font>
      <b/>
      <sz val="10"/>
      <color indexed="8"/>
      <name val="Times New Roman"/>
      <family val="1"/>
    </font>
    <font>
      <b/>
      <sz val="12"/>
      <color indexed="8"/>
      <name val="Times New Roman"/>
      <family val="1"/>
    </font>
    <font>
      <sz val="12"/>
      <name val="Times New Roman"/>
      <family val="1"/>
    </font>
    <font>
      <b/>
      <sz val="12"/>
      <name val="Times New Roman"/>
      <family val="1"/>
    </font>
    <font>
      <b/>
      <i/>
      <sz val="12"/>
      <name val="Times New Roman"/>
      <family val="1"/>
    </font>
    <font>
      <sz val="11"/>
      <color indexed="8"/>
      <name val="Calibri"/>
      <family val="2"/>
    </font>
    <font>
      <b/>
      <sz val="10"/>
      <name val="Times New Roman"/>
      <family val="1"/>
    </font>
    <font>
      <sz val="11"/>
      <name val="Calibri"/>
      <family val="2"/>
      <scheme val="minor"/>
    </font>
    <font>
      <sz val="12"/>
      <name val="Calibri"/>
      <family val="2"/>
      <scheme val="minor"/>
    </font>
    <font>
      <sz val="12"/>
      <name val="Calibri"/>
      <family val="1"/>
      <scheme val="minor"/>
    </font>
    <font>
      <vertAlign val="superscript"/>
      <sz val="12"/>
      <name val="Times New Roman"/>
      <family val="1"/>
    </font>
    <font>
      <sz val="11"/>
      <color theme="3" tint="0.39997558519241921"/>
      <name val="Calibri"/>
      <family val="2"/>
      <scheme val="minor"/>
    </font>
    <font>
      <sz val="12"/>
      <color theme="3" tint="0.39997558519241921"/>
      <name val="Calibri"/>
      <family val="2"/>
      <scheme val="minor"/>
    </font>
    <font>
      <sz val="12"/>
      <color theme="3" tint="0.39997558519241921"/>
      <name val="Times New Roman"/>
      <family val="1"/>
    </font>
    <font>
      <b/>
      <sz val="12"/>
      <color theme="3" tint="0.39997558519241921"/>
      <name val="Times New Roman"/>
      <family val="1"/>
    </font>
    <font>
      <sz val="11"/>
      <color rgb="FF002060"/>
      <name val="Calibri"/>
      <family val="2"/>
      <scheme val="minor"/>
    </font>
    <font>
      <sz val="12"/>
      <color theme="1"/>
      <name val="Times New Roman"/>
      <family val="1"/>
    </font>
    <font>
      <vertAlign val="superscript"/>
      <sz val="12"/>
      <color indexed="8"/>
      <name val="Times New Roman"/>
      <family val="1"/>
    </font>
    <font>
      <sz val="8"/>
      <color theme="1"/>
      <name val="Times New Roman"/>
      <family val="1"/>
    </font>
    <font>
      <b/>
      <sz val="10"/>
      <color theme="1"/>
      <name val="Times New Roman"/>
      <family val="1"/>
    </font>
    <font>
      <b/>
      <sz val="12"/>
      <color theme="1"/>
      <name val="Times New Roman"/>
      <family val="1"/>
    </font>
    <font>
      <sz val="12"/>
      <color theme="3" tint="0.39997558519241921"/>
      <name val="Calibri"/>
      <family val="1"/>
      <scheme val="minor"/>
    </font>
    <font>
      <vertAlign val="superscript"/>
      <sz val="12"/>
      <color indexed="62"/>
      <name val="Times New Roman"/>
      <family val="1"/>
    </font>
    <font>
      <sz val="14"/>
      <name val="Times New Roman"/>
      <family val="1"/>
    </font>
    <font>
      <sz val="12"/>
      <color theme="1"/>
      <name val="Calibri"/>
      <family val="2"/>
      <scheme val="minor"/>
    </font>
    <font>
      <sz val="10"/>
      <color theme="3" tint="0.39997558519241921"/>
      <name val="Times New Roman"/>
      <family val="1"/>
    </font>
    <font>
      <vertAlign val="superscript"/>
      <sz val="10"/>
      <color indexed="62"/>
      <name val="Times New Roman"/>
      <family val="1"/>
    </font>
    <font>
      <sz val="8"/>
      <color theme="3" tint="0.39997558519241921"/>
      <name val="Times New Roman"/>
      <family val="1"/>
    </font>
    <font>
      <i/>
      <sz val="12"/>
      <color theme="3" tint="0.39997558519241921"/>
      <name val="Times New Roman"/>
      <family val="1"/>
    </font>
    <font>
      <sz val="10"/>
      <color theme="1"/>
      <name val="Times New Roman"/>
      <family val="1"/>
    </font>
    <font>
      <sz val="10"/>
      <name val="Times New Roman"/>
      <family val="1"/>
    </font>
    <font>
      <i/>
      <sz val="12"/>
      <name val="Times New Roman"/>
      <family val="1"/>
    </font>
    <font>
      <vertAlign val="superscript"/>
      <sz val="10"/>
      <color indexed="8"/>
      <name val="Times New Roman"/>
      <family val="1"/>
    </font>
    <font>
      <sz val="11"/>
      <color theme="1"/>
      <name val="Times New Roman"/>
      <family val="1"/>
    </font>
    <font>
      <vertAlign val="superscript"/>
      <sz val="11"/>
      <color indexed="8"/>
      <name val="Times New Roman"/>
      <family val="1"/>
    </font>
    <font>
      <sz val="10"/>
      <color indexed="8"/>
      <name val="Arial"/>
      <family val="2"/>
    </font>
    <font>
      <sz val="10"/>
      <name val="Arial"/>
      <family val="2"/>
    </font>
    <font>
      <i/>
      <sz val="13"/>
      <color theme="1"/>
      <name val="Times New Roman"/>
      <family val="1"/>
    </font>
    <font>
      <sz val="13"/>
      <color theme="3" tint="0.39997558519241921"/>
      <name val="Times New Roman"/>
      <family val="1"/>
    </font>
    <font>
      <sz val="13"/>
      <color theme="3" tint="0.39997558519241921"/>
      <name val="Calibri"/>
      <family val="1"/>
      <scheme val="minor"/>
    </font>
    <font>
      <sz val="14"/>
      <color theme="3" tint="0.39997558519241921"/>
      <name val="Times New Roman"/>
      <family val="1"/>
    </font>
    <font>
      <vertAlign val="superscript"/>
      <sz val="14"/>
      <color indexed="62"/>
      <name val="Times New Roman"/>
      <family val="1"/>
    </font>
    <font>
      <sz val="11"/>
      <color theme="3" tint="0.39997558519241921"/>
      <name val="Calibri"/>
      <family val="1"/>
      <scheme val="minor"/>
    </font>
    <font>
      <sz val="8"/>
      <name val="Times New Roman"/>
      <family val="1"/>
    </font>
    <font>
      <b/>
      <sz val="12"/>
      <color rgb="FFFF0000"/>
      <name val="Times New Roman"/>
      <family val="1"/>
    </font>
    <font>
      <b/>
      <sz val="13.5"/>
      <name val="Times New Roman"/>
      <family val="1"/>
    </font>
    <font>
      <sz val="9"/>
      <color indexed="81"/>
      <name val="Tahoma"/>
      <family val="2"/>
    </font>
    <font>
      <sz val="14"/>
      <name val="??"/>
      <family val="3"/>
      <charset val="129"/>
    </font>
    <font>
      <sz val="11"/>
      <name val="??"/>
      <family val="3"/>
    </font>
    <font>
      <sz val="12"/>
      <name val="????"/>
      <charset val="136"/>
    </font>
    <font>
      <sz val="11"/>
      <name val="??"/>
      <family val="3"/>
      <charset val="129"/>
    </font>
    <font>
      <sz val="10"/>
      <name val="???"/>
      <family val="3"/>
      <charset val="129"/>
    </font>
    <font>
      <sz val="11"/>
      <color indexed="8"/>
      <name val="Calibri"/>
      <family val="2"/>
      <charset val="163"/>
    </font>
    <font>
      <sz val="11"/>
      <color indexed="9"/>
      <name val="Calibri"/>
      <family val="2"/>
      <charset val="163"/>
    </font>
    <font>
      <sz val="12"/>
      <name val="±¼¸²Ã¼"/>
      <family val="3"/>
      <charset val="129"/>
    </font>
    <font>
      <sz val="12"/>
      <name val="¹UAAA¼"/>
      <family val="3"/>
      <charset val="129"/>
    </font>
    <font>
      <sz val="12"/>
      <name val="µ¸¿òÃ¼"/>
      <family val="3"/>
      <charset val="129"/>
    </font>
    <font>
      <sz val="12"/>
      <name val=".VnTime"/>
      <family val="2"/>
    </font>
    <font>
      <sz val="11"/>
      <color indexed="20"/>
      <name val="Calibri"/>
      <family val="2"/>
      <charset val="163"/>
    </font>
    <font>
      <sz val="12"/>
      <name val="¹UAAA¼"/>
      <family val="3"/>
      <charset val="128"/>
    </font>
    <font>
      <b/>
      <sz val="11"/>
      <color indexed="52"/>
      <name val="Calibri"/>
      <family val="2"/>
      <charset val="163"/>
    </font>
    <font>
      <b/>
      <sz val="11"/>
      <color indexed="9"/>
      <name val="Calibri"/>
      <family val="2"/>
      <charset val="163"/>
    </font>
    <font>
      <i/>
      <sz val="11"/>
      <color indexed="23"/>
      <name val="Calibri"/>
      <family val="2"/>
      <charset val="163"/>
    </font>
    <font>
      <sz val="11"/>
      <color indexed="17"/>
      <name val="Calibri"/>
      <family val="2"/>
      <charset val="163"/>
    </font>
    <font>
      <b/>
      <sz val="12"/>
      <name val="Arial"/>
      <family val="2"/>
    </font>
    <font>
      <b/>
      <sz val="15"/>
      <color indexed="56"/>
      <name val="Calibri"/>
      <family val="2"/>
      <charset val="163"/>
    </font>
    <font>
      <b/>
      <sz val="13"/>
      <color indexed="56"/>
      <name val="Calibri"/>
      <family val="2"/>
      <charset val="163"/>
    </font>
    <font>
      <b/>
      <sz val="11"/>
      <color indexed="56"/>
      <name val="Calibri"/>
      <family val="2"/>
      <charset val="163"/>
    </font>
    <font>
      <sz val="11"/>
      <color indexed="62"/>
      <name val="Calibri"/>
      <family val="2"/>
      <charset val="163"/>
    </font>
    <font>
      <sz val="11"/>
      <color indexed="52"/>
      <name val="Calibri"/>
      <family val="2"/>
      <charset val="163"/>
    </font>
    <font>
      <sz val="11"/>
      <color indexed="60"/>
      <name val="Calibri"/>
      <family val="2"/>
      <charset val="163"/>
    </font>
    <font>
      <sz val="11"/>
      <color theme="1"/>
      <name val="Calibri"/>
      <family val="2"/>
    </font>
    <font>
      <b/>
      <sz val="11"/>
      <color indexed="63"/>
      <name val="Calibri"/>
      <family val="2"/>
      <charset val="163"/>
    </font>
    <font>
      <b/>
      <sz val="18"/>
      <color indexed="56"/>
      <name val="Cambria"/>
      <family val="2"/>
      <charset val="163"/>
    </font>
    <font>
      <b/>
      <sz val="11"/>
      <color indexed="8"/>
      <name val="Calibri"/>
      <family val="2"/>
      <charset val="163"/>
    </font>
    <font>
      <sz val="11"/>
      <color indexed="10"/>
      <name val="Calibri"/>
      <family val="2"/>
      <charset val="163"/>
    </font>
    <font>
      <sz val="14"/>
      <name val="뼻뮝"/>
      <family val="3"/>
      <charset val="128"/>
    </font>
    <font>
      <sz val="12"/>
      <name val="바탕체"/>
      <family val="1"/>
    </font>
    <font>
      <sz val="12"/>
      <name val="뼻뮝"/>
      <family val="1"/>
    </font>
    <font>
      <sz val="10"/>
      <name val="굴림체"/>
      <family val="3"/>
      <charset val="128"/>
    </font>
    <font>
      <sz val="12"/>
      <name val="新細明體"/>
      <family val="1"/>
    </font>
    <font>
      <b/>
      <sz val="12.5"/>
      <name val="Times New Roman"/>
      <family val="1"/>
    </font>
    <font>
      <sz val="12.5"/>
      <name val="Times New Roman"/>
      <family val="1"/>
    </font>
    <font>
      <sz val="12"/>
      <color indexed="8"/>
      <name val=".VnTime"/>
      <family val="2"/>
    </font>
    <font>
      <sz val="12.5"/>
      <color indexed="8"/>
      <name val="Times New Roman"/>
      <family val="1"/>
    </font>
    <font>
      <sz val="12.5"/>
      <color indexed="8"/>
      <name val=".VnTime"/>
      <family val="2"/>
    </font>
    <font>
      <sz val="12.5"/>
      <color theme="1"/>
      <name val="Times New Roman"/>
      <family val="1"/>
    </font>
    <font>
      <sz val="12.5"/>
      <color theme="1"/>
      <name val=".VnTime"/>
      <family val="2"/>
    </font>
    <font>
      <b/>
      <sz val="12.5"/>
      <color theme="1"/>
      <name val="Times New Roman"/>
      <family val="1"/>
    </font>
    <font>
      <b/>
      <sz val="12.5"/>
      <color theme="1"/>
      <name val=".VnTime"/>
      <family val="2"/>
    </font>
    <font>
      <sz val="11"/>
      <color theme="1"/>
      <name val=".VnArial"/>
      <family val="2"/>
    </font>
    <font>
      <sz val="11"/>
      <name val="Times New Roman"/>
      <family val="1"/>
    </font>
    <font>
      <sz val="11"/>
      <name val=".VnArial"/>
      <family val="2"/>
    </font>
    <font>
      <vertAlign val="superscript"/>
      <sz val="12"/>
      <color theme="1"/>
      <name val="Times New Roman"/>
      <family val="1"/>
    </font>
    <font>
      <i/>
      <sz val="12"/>
      <color theme="1"/>
      <name val="Times New Roman"/>
      <family val="1"/>
    </font>
    <font>
      <sz val="14"/>
      <color theme="1"/>
      <name val="Times New Roman"/>
      <family val="1"/>
    </font>
    <font>
      <vertAlign val="superscript"/>
      <sz val="14"/>
      <color theme="1"/>
      <name val="Times New Roman"/>
      <family val="1"/>
    </font>
    <font>
      <sz val="13"/>
      <color theme="1"/>
      <name val="Times New Roman"/>
      <family val="1"/>
    </font>
    <font>
      <vertAlign val="superscript"/>
      <sz val="10"/>
      <color theme="1"/>
      <name val="Times New Roman"/>
      <family val="1"/>
    </font>
    <font>
      <sz val="10"/>
      <color theme="1"/>
      <name val="Arial"/>
      <family val="2"/>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243">
    <xf numFmtId="0" fontId="0" fillId="0" borderId="0"/>
    <xf numFmtId="172" fontId="11" fillId="0" borderId="0" applyFont="0" applyFill="0" applyBorder="0" applyAlignment="0" applyProtection="0"/>
    <xf numFmtId="0" fontId="8" fillId="0" borderId="0"/>
    <xf numFmtId="0" fontId="29" fillId="0" borderId="0"/>
    <xf numFmtId="172" fontId="8" fillId="0" borderId="0" applyFont="0" applyFill="0" applyBorder="0" applyAlignment="0" applyProtection="0"/>
    <xf numFmtId="0" fontId="42" fillId="0" borderId="0"/>
    <xf numFmtId="172" fontId="8" fillId="0" borderId="0" applyFont="0" applyFill="0" applyBorder="0" applyAlignment="0" applyProtection="0"/>
    <xf numFmtId="0" fontId="8" fillId="0" borderId="0"/>
    <xf numFmtId="0" fontId="42" fillId="0" borderId="0"/>
    <xf numFmtId="0" fontId="53" fillId="0" borderId="0" applyFont="0" applyFill="0" applyBorder="0" applyAlignment="0" applyProtection="0"/>
    <xf numFmtId="174" fontId="54" fillId="0" borderId="0" applyFont="0" applyFill="0" applyBorder="0" applyAlignment="0" applyProtection="0"/>
    <xf numFmtId="40" fontId="53" fillId="0" borderId="0" applyFont="0" applyFill="0" applyBorder="0" applyAlignment="0" applyProtection="0"/>
    <xf numFmtId="38" fontId="53" fillId="0" borderId="0" applyFont="0" applyFill="0" applyBorder="0" applyAlignment="0" applyProtection="0"/>
    <xf numFmtId="175" fontId="55" fillId="0" borderId="0" applyFont="0" applyFill="0" applyBorder="0" applyAlignment="0" applyProtection="0"/>
    <xf numFmtId="9" fontId="56" fillId="0" borderId="0" applyFont="0" applyFill="0" applyBorder="0" applyAlignment="0" applyProtection="0"/>
    <xf numFmtId="0" fontId="57" fillId="0" borderId="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176" fontId="60" fillId="0" borderId="0" applyFont="0" applyFill="0" applyBorder="0" applyAlignment="0" applyProtection="0"/>
    <xf numFmtId="0" fontId="61" fillId="0" borderId="0" applyFont="0" applyFill="0" applyBorder="0" applyAlignment="0" applyProtection="0"/>
    <xf numFmtId="176" fontId="62" fillId="0" borderId="0" applyFont="0" applyFill="0" applyBorder="0" applyAlignment="0" applyProtection="0"/>
    <xf numFmtId="177" fontId="60" fillId="0" borderId="0" applyFont="0" applyFill="0" applyBorder="0" applyAlignment="0" applyProtection="0"/>
    <xf numFmtId="0" fontId="61" fillId="0" borderId="0" applyFont="0" applyFill="0" applyBorder="0" applyAlignment="0" applyProtection="0"/>
    <xf numFmtId="177" fontId="62" fillId="0" borderId="0" applyFont="0" applyFill="0" applyBorder="0" applyAlignment="0" applyProtection="0"/>
    <xf numFmtId="178" fontId="60" fillId="0" borderId="0" applyFont="0" applyFill="0" applyBorder="0" applyAlignment="0" applyProtection="0"/>
    <xf numFmtId="0" fontId="61" fillId="0" borderId="0" applyFont="0" applyFill="0" applyBorder="0" applyAlignment="0" applyProtection="0"/>
    <xf numFmtId="178" fontId="62" fillId="0" borderId="0" applyFont="0" applyFill="0" applyBorder="0" applyAlignment="0" applyProtection="0"/>
    <xf numFmtId="179" fontId="63" fillId="0" borderId="0" applyFont="0" applyFill="0" applyBorder="0" applyAlignment="0" applyProtection="0"/>
    <xf numFmtId="0" fontId="61" fillId="0" borderId="0" applyFont="0" applyFill="0" applyBorder="0" applyAlignment="0" applyProtection="0"/>
    <xf numFmtId="179" fontId="63" fillId="0" borderId="0" applyFont="0" applyFill="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1" fillId="0" borderId="0"/>
    <xf numFmtId="0" fontId="62" fillId="0" borderId="0"/>
    <xf numFmtId="0" fontId="65" fillId="0" borderId="0"/>
    <xf numFmtId="0" fontId="62" fillId="0" borderId="0"/>
    <xf numFmtId="0" fontId="66" fillId="24" borderId="10" applyNumberFormat="0" applyAlignment="0" applyProtection="0"/>
    <xf numFmtId="0" fontId="66" fillId="24" borderId="10" applyNumberFormat="0" applyAlignment="0" applyProtection="0"/>
    <xf numFmtId="0" fontId="66" fillId="24" borderId="10" applyNumberFormat="0" applyAlignment="0" applyProtection="0"/>
    <xf numFmtId="0" fontId="66" fillId="24" borderId="10" applyNumberFormat="0" applyAlignment="0" applyProtection="0"/>
    <xf numFmtId="0" fontId="67" fillId="25" borderId="11" applyNumberFormat="0" applyAlignment="0" applyProtection="0"/>
    <xf numFmtId="0" fontId="67" fillId="25" borderId="11" applyNumberFormat="0" applyAlignment="0" applyProtection="0"/>
    <xf numFmtId="0" fontId="67" fillId="25" borderId="11" applyNumberFormat="0" applyAlignment="0" applyProtection="0"/>
    <xf numFmtId="0" fontId="67" fillId="25" borderId="11" applyNumberFormat="0" applyAlignment="0" applyProtection="0"/>
    <xf numFmtId="172" fontId="8" fillId="0" borderId="0" applyFont="0" applyFill="0" applyBorder="0" applyAlignment="0" applyProtection="0"/>
    <xf numFmtId="3" fontId="42" fillId="0" borderId="0" applyFont="0" applyFill="0" applyBorder="0" applyAlignment="0" applyProtection="0"/>
    <xf numFmtId="180" fontId="42" fillId="0" borderId="0" applyFont="0" applyFill="0" applyBorder="0" applyAlignment="0" applyProtection="0"/>
    <xf numFmtId="0" fontId="42"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2" fontId="42" fillId="0" borderId="0" applyFont="0" applyFill="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0" borderId="12" applyNumberFormat="0" applyAlignment="0" applyProtection="0">
      <alignment horizontal="left" vertical="center"/>
    </xf>
    <xf numFmtId="0" fontId="70" fillId="0" borderId="5">
      <alignment horizontal="left" vertical="center"/>
    </xf>
    <xf numFmtId="0" fontId="71" fillId="0" borderId="13" applyNumberFormat="0" applyFill="0" applyAlignment="0" applyProtection="0"/>
    <xf numFmtId="0" fontId="71" fillId="0" borderId="13" applyNumberFormat="0" applyFill="0" applyAlignment="0" applyProtection="0"/>
    <xf numFmtId="0" fontId="71" fillId="0" borderId="13" applyNumberFormat="0" applyFill="0" applyAlignment="0" applyProtection="0"/>
    <xf numFmtId="0" fontId="71" fillId="0" borderId="13" applyNumberFormat="0" applyFill="0" applyAlignment="0" applyProtection="0"/>
    <xf numFmtId="0" fontId="72" fillId="0" borderId="14" applyNumberFormat="0" applyFill="0" applyAlignment="0" applyProtection="0"/>
    <xf numFmtId="0" fontId="72" fillId="0" borderId="14" applyNumberFormat="0" applyFill="0" applyAlignment="0" applyProtection="0"/>
    <xf numFmtId="0" fontId="72" fillId="0" borderId="14" applyNumberFormat="0" applyFill="0" applyAlignment="0" applyProtection="0"/>
    <xf numFmtId="0" fontId="72" fillId="0" borderId="14" applyNumberFormat="0" applyFill="0" applyAlignment="0" applyProtection="0"/>
    <xf numFmtId="0" fontId="73" fillId="0" borderId="15" applyNumberFormat="0" applyFill="0" applyAlignment="0" applyProtection="0"/>
    <xf numFmtId="0" fontId="73" fillId="0" borderId="15" applyNumberFormat="0" applyFill="0" applyAlignment="0" applyProtection="0"/>
    <xf numFmtId="0" fontId="73" fillId="0" borderId="15" applyNumberFormat="0" applyFill="0" applyAlignment="0" applyProtection="0"/>
    <xf numFmtId="0" fontId="73" fillId="0" borderId="1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11" borderId="10" applyNumberFormat="0" applyAlignment="0" applyProtection="0"/>
    <xf numFmtId="0" fontId="74" fillId="11" borderId="10" applyNumberFormat="0" applyAlignment="0" applyProtection="0"/>
    <xf numFmtId="0" fontId="74" fillId="11" borderId="10" applyNumberFormat="0" applyAlignment="0" applyProtection="0"/>
    <xf numFmtId="0" fontId="74" fillId="11" borderId="10" applyNumberFormat="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5" fillId="0" borderId="16" applyNumberFormat="0" applyFill="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181" fontId="63" fillId="0" borderId="0"/>
    <xf numFmtId="0" fontId="11" fillId="0" borderId="0"/>
    <xf numFmtId="0" fontId="77" fillId="0" borderId="0"/>
    <xf numFmtId="0" fontId="1" fillId="0" borderId="0"/>
    <xf numFmtId="0" fontId="8" fillId="0" borderId="0"/>
    <xf numFmtId="0" fontId="8" fillId="0" borderId="0"/>
    <xf numFmtId="0" fontId="58" fillId="0" borderId="0"/>
    <xf numFmtId="0" fontId="11" fillId="0" borderId="0"/>
    <xf numFmtId="0" fontId="11" fillId="0" borderId="0"/>
    <xf numFmtId="0" fontId="11" fillId="0" borderId="0"/>
    <xf numFmtId="0" fontId="11" fillId="0" borderId="0"/>
    <xf numFmtId="0" fontId="42" fillId="0" borderId="0"/>
    <xf numFmtId="0" fontId="42" fillId="0" borderId="0"/>
    <xf numFmtId="0" fontId="42" fillId="0" borderId="0"/>
    <xf numFmtId="0" fontId="58" fillId="27" borderId="17" applyNumberFormat="0" applyFont="0" applyAlignment="0" applyProtection="0"/>
    <xf numFmtId="0" fontId="58" fillId="27" borderId="17" applyNumberFormat="0" applyFont="0" applyAlignment="0" applyProtection="0"/>
    <xf numFmtId="0" fontId="58" fillId="27" borderId="17" applyNumberFormat="0" applyFont="0" applyAlignment="0" applyProtection="0"/>
    <xf numFmtId="0" fontId="58" fillId="27" borderId="17" applyNumberFormat="0" applyFont="0" applyAlignment="0" applyProtection="0"/>
    <xf numFmtId="0" fontId="11" fillId="27" borderId="17" applyNumberFormat="0" applyFont="0" applyAlignment="0" applyProtection="0"/>
    <xf numFmtId="0" fontId="11" fillId="27" borderId="17" applyNumberFormat="0" applyFont="0" applyAlignment="0" applyProtection="0"/>
    <xf numFmtId="0" fontId="11" fillId="27" borderId="17" applyNumberFormat="0" applyFont="0" applyAlignment="0" applyProtection="0"/>
    <xf numFmtId="0" fontId="11" fillId="27" borderId="17" applyNumberFormat="0" applyFont="0" applyAlignment="0" applyProtection="0"/>
    <xf numFmtId="0" fontId="78" fillId="24" borderId="18" applyNumberFormat="0" applyAlignment="0" applyProtection="0"/>
    <xf numFmtId="0" fontId="78" fillId="24" borderId="18" applyNumberFormat="0" applyAlignment="0" applyProtection="0"/>
    <xf numFmtId="0" fontId="78" fillId="24" borderId="18" applyNumberFormat="0" applyAlignment="0" applyProtection="0"/>
    <xf numFmtId="0" fontId="78" fillId="24" borderId="18" applyNumberFormat="0" applyAlignment="0" applyProtection="0"/>
    <xf numFmtId="9" fontId="8" fillId="0" borderId="0" applyFont="0" applyFill="0" applyBorder="0" applyAlignment="0" applyProtection="0"/>
    <xf numFmtId="9" fontId="8" fillId="0" borderId="0" applyFont="0" applyFill="0" applyBorder="0" applyAlignment="0" applyProtection="0"/>
    <xf numFmtId="182" fontId="63" fillId="0" borderId="6">
      <alignment horizontal="right" vertical="center"/>
    </xf>
    <xf numFmtId="183" fontId="63" fillId="0" borderId="6">
      <alignment horizontal="center"/>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19" applyNumberFormat="0" applyFill="0" applyAlignment="0" applyProtection="0"/>
    <xf numFmtId="0" fontId="80" fillId="0" borderId="19" applyNumberFormat="0" applyFill="0" applyAlignment="0" applyProtection="0"/>
    <xf numFmtId="0" fontId="80" fillId="0" borderId="19" applyNumberFormat="0" applyFill="0" applyAlignment="0" applyProtection="0"/>
    <xf numFmtId="0" fontId="80" fillId="0" borderId="19" applyNumberFormat="0" applyFill="0" applyAlignment="0" applyProtection="0"/>
    <xf numFmtId="184" fontId="63" fillId="0" borderId="0"/>
    <xf numFmtId="185" fontId="63" fillId="0" borderId="1"/>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40" fontId="82" fillId="0" borderId="0" applyFont="0" applyFill="0" applyBorder="0" applyAlignment="0" applyProtection="0"/>
    <xf numFmtId="38"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9" fontId="83" fillId="0" borderId="0" applyFont="0" applyFill="0" applyBorder="0" applyAlignment="0" applyProtection="0"/>
    <xf numFmtId="0" fontId="84" fillId="0" borderId="0"/>
    <xf numFmtId="187" fontId="63" fillId="0" borderId="0" applyFont="0" applyFill="0" applyBorder="0" applyAlignment="0" applyProtection="0"/>
    <xf numFmtId="188" fontId="63" fillId="0" borderId="0" applyFont="0" applyFill="0" applyBorder="0" applyAlignment="0" applyProtection="0"/>
    <xf numFmtId="189" fontId="83" fillId="0" borderId="0" applyFont="0" applyFill="0" applyBorder="0" applyAlignment="0" applyProtection="0"/>
    <xf numFmtId="190" fontId="83" fillId="0" borderId="0" applyFont="0" applyFill="0" applyBorder="0" applyAlignment="0" applyProtection="0"/>
    <xf numFmtId="0" fontId="85" fillId="0" borderId="0"/>
    <xf numFmtId="0" fontId="86" fillId="0" borderId="0"/>
    <xf numFmtId="175" fontId="86" fillId="0" borderId="0" applyFont="0" applyFill="0" applyBorder="0" applyAlignment="0" applyProtection="0"/>
    <xf numFmtId="186" fontId="86" fillId="0" borderId="0" applyFont="0" applyFill="0" applyBorder="0" applyAlignment="0" applyProtection="0"/>
    <xf numFmtId="191" fontId="86" fillId="0" borderId="0" applyFont="0" applyFill="0" applyBorder="0" applyAlignment="0" applyProtection="0"/>
    <xf numFmtId="192" fontId="86" fillId="0" borderId="0" applyFont="0" applyFill="0" applyBorder="0" applyAlignment="0" applyProtection="0"/>
  </cellStyleXfs>
  <cellXfs count="345">
    <xf numFmtId="0" fontId="0" fillId="0" borderId="0" xfId="0"/>
    <xf numFmtId="0" fontId="2" fillId="0" borderId="0" xfId="0" applyFont="1" applyAlignment="1">
      <alignment horizontal="left" vertical="center" wrapText="1"/>
    </xf>
    <xf numFmtId="165" fontId="2" fillId="0" borderId="0" xfId="0" applyNumberFormat="1" applyFont="1" applyAlignment="1">
      <alignment horizontal="left" vertical="center" wrapText="1"/>
    </xf>
    <xf numFmtId="3" fontId="3"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37" fontId="2" fillId="0" borderId="0" xfId="0" applyNumberFormat="1" applyFont="1" applyAlignment="1">
      <alignment horizontal="right" vertical="center" wrapText="1"/>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5" fillId="0" borderId="0" xfId="0" applyFont="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0" borderId="0" xfId="0" applyFont="1" applyFill="1" applyAlignment="1">
      <alignment horizontal="left" vertical="center" wrapText="1"/>
    </xf>
    <xf numFmtId="165" fontId="8" fillId="0" borderId="0" xfId="0" applyNumberFormat="1" applyFont="1" applyFill="1" applyAlignment="1">
      <alignment horizontal="left" vertical="center" wrapText="1"/>
    </xf>
    <xf numFmtId="3" fontId="9" fillId="0" borderId="0" xfId="0" applyNumberFormat="1" applyFont="1" applyFill="1" applyBorder="1" applyAlignment="1" applyProtection="1">
      <alignment wrapText="1"/>
    </xf>
    <xf numFmtId="3" fontId="9" fillId="0" borderId="1" xfId="0" applyNumberFormat="1" applyFont="1" applyFill="1" applyBorder="1" applyAlignment="1" applyProtection="1">
      <alignment horizontal="center" vertical="center" wrapText="1"/>
    </xf>
    <xf numFmtId="173" fontId="9" fillId="0" borderId="0" xfId="1" applyNumberFormat="1" applyFont="1" applyFill="1" applyAlignment="1">
      <alignment horizontal="left" vertical="center" wrapText="1"/>
    </xf>
    <xf numFmtId="37" fontId="9" fillId="0"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2" borderId="0" xfId="0" applyFont="1" applyFill="1"/>
    <xf numFmtId="0" fontId="14" fillId="2" borderId="0" xfId="0" applyFont="1" applyFill="1"/>
    <xf numFmtId="3" fontId="9" fillId="2" borderId="1" xfId="2" applyNumberFormat="1" applyFont="1" applyFill="1" applyBorder="1" applyAlignment="1" applyProtection="1">
      <alignment horizontal="center" vertical="center" wrapText="1"/>
    </xf>
    <xf numFmtId="3" fontId="8" fillId="3" borderId="1" xfId="0" applyNumberFormat="1" applyFont="1" applyFill="1" applyBorder="1" applyAlignment="1">
      <alignment vertical="center" wrapText="1"/>
    </xf>
    <xf numFmtId="166" fontId="8" fillId="2"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3" fontId="15" fillId="0" borderId="1" xfId="0" applyNumberFormat="1" applyFont="1" applyBorder="1" applyAlignment="1">
      <alignment horizontal="right" vertical="center"/>
    </xf>
    <xf numFmtId="0" fontId="8" fillId="2"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2" applyFont="1" applyFill="1" applyBorder="1" applyAlignment="1">
      <alignment horizontal="left" vertical="center" wrapText="1"/>
    </xf>
    <xf numFmtId="0" fontId="9" fillId="2" borderId="1" xfId="0" applyFont="1" applyFill="1" applyBorder="1" applyAlignment="1">
      <alignment horizontal="center" vertical="center" wrapText="1"/>
    </xf>
    <xf numFmtId="0" fontId="17" fillId="2" borderId="0" xfId="0" applyFont="1" applyFill="1"/>
    <xf numFmtId="0" fontId="18" fillId="2" borderId="0" xfId="0" applyFont="1" applyFill="1"/>
    <xf numFmtId="3" fontId="9" fillId="2" borderId="1" xfId="0" applyNumberFormat="1" applyFont="1" applyFill="1" applyBorder="1" applyAlignment="1" applyProtection="1">
      <alignment horizontal="center" vertical="center" wrapText="1"/>
    </xf>
    <xf numFmtId="37" fontId="19" fillId="0" borderId="2" xfId="0" applyNumberFormat="1" applyFont="1" applyBorder="1" applyAlignment="1">
      <alignment vertical="center" wrapText="1"/>
    </xf>
    <xf numFmtId="165" fontId="19" fillId="4" borderId="2" xfId="0" applyNumberFormat="1" applyFont="1" applyFill="1" applyBorder="1" applyAlignment="1">
      <alignment horizontal="center" vertical="center" wrapText="1"/>
    </xf>
    <xf numFmtId="9" fontId="19" fillId="0" borderId="2" xfId="0" applyNumberFormat="1" applyFont="1" applyBorder="1" applyAlignment="1">
      <alignment horizontal="center" vertical="center" wrapText="1"/>
    </xf>
    <xf numFmtId="3" fontId="19" fillId="4" borderId="2"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1" fillId="2" borderId="0" xfId="0" applyFont="1" applyFill="1"/>
    <xf numFmtId="167" fontId="8" fillId="2" borderId="1" xfId="2" applyNumberFormat="1" applyFont="1" applyFill="1" applyBorder="1" applyAlignment="1">
      <alignment horizontal="right" vertical="center" wrapText="1"/>
    </xf>
    <xf numFmtId="166" fontId="8" fillId="3" borderId="1" xfId="0" applyNumberFormat="1" applyFont="1" applyFill="1" applyBorder="1" applyAlignment="1">
      <alignment horizontal="center" vertical="center" wrapText="1"/>
    </xf>
    <xf numFmtId="9" fontId="8" fillId="2" borderId="1" xfId="2" applyNumberFormat="1" applyFont="1" applyFill="1" applyBorder="1" applyAlignment="1" applyProtection="1">
      <alignment horizontal="center" vertical="center" wrapText="1"/>
    </xf>
    <xf numFmtId="170" fontId="22" fillId="0" borderId="1" xfId="1" applyNumberFormat="1" applyFont="1" applyFill="1" applyBorder="1" applyAlignment="1">
      <alignment horizontal="righ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8" fillId="3" borderId="1" xfId="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0" fillId="0" borderId="0" xfId="0" applyFont="1"/>
    <xf numFmtId="3" fontId="22" fillId="2" borderId="1" xfId="0" applyNumberFormat="1" applyFont="1" applyFill="1" applyBorder="1" applyAlignment="1">
      <alignment horizontal="right" vertical="center" wrapText="1"/>
    </xf>
    <xf numFmtId="9" fontId="22" fillId="3" borderId="1" xfId="2" applyNumberFormat="1" applyFont="1" applyFill="1" applyBorder="1" applyAlignment="1" applyProtection="1">
      <alignment horizontal="center" vertical="center" wrapText="1"/>
    </xf>
    <xf numFmtId="3" fontId="22" fillId="3" borderId="1" xfId="0" applyNumberFormat="1" applyFont="1" applyFill="1" applyBorder="1" applyAlignment="1">
      <alignment horizontal="center" vertical="center" wrapText="1"/>
    </xf>
    <xf numFmtId="172" fontId="22" fillId="2" borderId="1" xfId="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5" fillId="2" borderId="1" xfId="0" applyFont="1" applyFill="1" applyBorder="1" applyAlignment="1">
      <alignment vertical="center" wrapText="1"/>
    </xf>
    <xf numFmtId="0" fontId="26" fillId="2" borderId="1" xfId="0" applyFont="1" applyFill="1" applyBorder="1" applyAlignment="1">
      <alignment vertical="center" wrapText="1"/>
    </xf>
    <xf numFmtId="3" fontId="15" fillId="0" borderId="1" xfId="0" applyNumberFormat="1" applyFont="1" applyBorder="1" applyAlignment="1">
      <alignment horizontal="right" vertical="center" wrapText="1"/>
    </xf>
    <xf numFmtId="3" fontId="19" fillId="3" borderId="3" xfId="0" applyNumberFormat="1" applyFont="1" applyFill="1" applyBorder="1" applyAlignment="1">
      <alignment vertical="center" wrapText="1"/>
    </xf>
    <xf numFmtId="9" fontId="19" fillId="3" borderId="3" xfId="0" applyNumberFormat="1" applyFont="1" applyFill="1" applyBorder="1" applyAlignment="1">
      <alignment horizontal="center" vertical="center" wrapText="1"/>
    </xf>
    <xf numFmtId="3" fontId="27" fillId="0" borderId="3" xfId="0" applyNumberFormat="1" applyFont="1" applyBorder="1" applyAlignment="1">
      <alignment horizontal="right" vertical="center"/>
    </xf>
    <xf numFmtId="0" fontId="19" fillId="3" borderId="3" xfId="1"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3" borderId="3" xfId="0" applyFont="1" applyFill="1" applyBorder="1" applyAlignment="1">
      <alignment horizontal="center" vertical="center" wrapText="1"/>
    </xf>
    <xf numFmtId="3" fontId="19" fillId="3" borderId="1" xfId="0" applyNumberFormat="1" applyFont="1" applyFill="1" applyBorder="1" applyAlignment="1">
      <alignment vertical="center" wrapText="1"/>
    </xf>
    <xf numFmtId="9" fontId="19" fillId="3" borderId="1" xfId="0" applyNumberFormat="1" applyFont="1" applyFill="1" applyBorder="1" applyAlignment="1">
      <alignment horizontal="center" vertical="center" wrapText="1"/>
    </xf>
    <xf numFmtId="3" fontId="27" fillId="0" borderId="1" xfId="0" applyNumberFormat="1" applyFont="1" applyBorder="1" applyAlignment="1">
      <alignment horizontal="right" vertical="center"/>
    </xf>
    <xf numFmtId="0" fontId="19" fillId="4"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37" fontId="9" fillId="2" borderId="1" xfId="0" applyNumberFormat="1" applyFont="1" applyFill="1" applyBorder="1" applyAlignment="1">
      <alignment horizontal="right" vertical="center" wrapText="1"/>
    </xf>
    <xf numFmtId="37" fontId="8" fillId="0" borderId="2" xfId="0" applyNumberFormat="1" applyFont="1" applyBorder="1" applyAlignment="1">
      <alignment vertical="center" wrapText="1"/>
    </xf>
    <xf numFmtId="165" fontId="8" fillId="4"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3" fontId="8" fillId="4" borderId="2" xfId="0" applyNumberFormat="1" applyFont="1" applyFill="1" applyBorder="1" applyAlignment="1">
      <alignment horizontal="right" vertical="center" wrapText="1"/>
    </xf>
    <xf numFmtId="0" fontId="8"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0" fontId="8" fillId="2" borderId="1" xfId="2" applyFont="1" applyFill="1" applyBorder="1" applyAlignment="1">
      <alignment horizontal="center" vertical="center" wrapText="1"/>
    </xf>
    <xf numFmtId="193" fontId="8" fillId="2" borderId="1" xfId="0" applyNumberFormat="1" applyFont="1" applyFill="1" applyBorder="1" applyAlignment="1">
      <alignment horizontal="center" vertical="center" wrapText="1"/>
    </xf>
    <xf numFmtId="9" fontId="8" fillId="2" borderId="1" xfId="2" applyNumberFormat="1" applyFont="1" applyFill="1" applyBorder="1" applyAlignment="1">
      <alignment horizontal="center" vertical="center" wrapText="1"/>
    </xf>
    <xf numFmtId="9" fontId="8" fillId="2" borderId="1" xfId="0" applyNumberFormat="1" applyFont="1" applyFill="1" applyBorder="1" applyAlignment="1" applyProtection="1">
      <alignment horizontal="center" vertical="center" wrapText="1"/>
    </xf>
    <xf numFmtId="0" fontId="8" fillId="2" borderId="1" xfId="2" applyNumberFormat="1" applyFont="1" applyFill="1" applyBorder="1" applyAlignment="1">
      <alignment horizontal="center" vertical="center" wrapText="1"/>
    </xf>
    <xf numFmtId="3" fontId="8" fillId="3" borderId="3" xfId="0" applyNumberFormat="1" applyFont="1" applyFill="1" applyBorder="1" applyAlignment="1">
      <alignment vertical="center" wrapText="1"/>
    </xf>
    <xf numFmtId="166" fontId="8" fillId="3" borderId="3" xfId="0" applyNumberFormat="1" applyFont="1" applyFill="1" applyBorder="1" applyAlignment="1">
      <alignment horizontal="center" vertical="center" wrapText="1"/>
    </xf>
    <xf numFmtId="9" fontId="8" fillId="3" borderId="3" xfId="0" applyNumberFormat="1" applyFont="1" applyFill="1" applyBorder="1" applyAlignment="1">
      <alignment horizontal="center" vertical="center" wrapText="1"/>
    </xf>
    <xf numFmtId="3" fontId="15" fillId="0" borderId="3" xfId="0" applyNumberFormat="1" applyFont="1" applyBorder="1" applyAlignment="1">
      <alignment horizontal="right" vertical="center"/>
    </xf>
    <xf numFmtId="0" fontId="8" fillId="3" borderId="3" xfId="1"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3" fontId="9" fillId="3" borderId="1" xfId="0" applyNumberFormat="1" applyFont="1" applyFill="1" applyBorder="1" applyAlignment="1">
      <alignment vertical="center" wrapText="1"/>
    </xf>
    <xf numFmtId="0" fontId="8" fillId="2" borderId="1" xfId="1" applyNumberFormat="1" applyFont="1" applyFill="1" applyBorder="1" applyAlignment="1">
      <alignment horizontal="center" vertical="center" wrapText="1"/>
    </xf>
    <xf numFmtId="0" fontId="8" fillId="2" borderId="1" xfId="3" applyFont="1" applyFill="1" applyBorder="1" applyAlignment="1">
      <alignment vertical="center" wrapText="1"/>
    </xf>
    <xf numFmtId="0" fontId="0" fillId="2" borderId="0" xfId="0" applyFont="1" applyFill="1"/>
    <xf numFmtId="0" fontId="30" fillId="2" borderId="0" xfId="0" applyFont="1" applyFill="1"/>
    <xf numFmtId="3" fontId="26" fillId="2" borderId="1" xfId="2" applyNumberFormat="1" applyFont="1" applyFill="1" applyBorder="1" applyAlignment="1" applyProtection="1">
      <alignment horizontal="center" vertical="center" wrapText="1"/>
    </xf>
    <xf numFmtId="37" fontId="22" fillId="0" borderId="2" xfId="0" applyNumberFormat="1" applyFont="1" applyBorder="1" applyAlignment="1">
      <alignment vertical="center" wrapText="1"/>
    </xf>
    <xf numFmtId="165" fontId="22" fillId="4" borderId="2"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3" fontId="22" fillId="4" borderId="2"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3" fontId="20" fillId="2" borderId="1" xfId="2" applyNumberFormat="1" applyFont="1" applyFill="1" applyBorder="1" applyAlignment="1" applyProtection="1">
      <alignment horizontal="center" vertical="center" wrapText="1"/>
    </xf>
    <xf numFmtId="0" fontId="19" fillId="2" borderId="1" xfId="2" applyNumberFormat="1" applyFont="1" applyFill="1" applyBorder="1" applyAlignment="1">
      <alignment horizontal="center" vertical="center" wrapText="1"/>
    </xf>
    <xf numFmtId="0" fontId="19" fillId="2" borderId="1" xfId="2" applyFont="1" applyFill="1" applyBorder="1" applyAlignment="1">
      <alignment horizontal="left" vertical="center" wrapText="1"/>
    </xf>
    <xf numFmtId="0" fontId="19" fillId="2" borderId="1" xfId="3" applyFont="1" applyFill="1" applyBorder="1" applyAlignment="1">
      <alignment vertical="center" wrapText="1"/>
    </xf>
    <xf numFmtId="0" fontId="19" fillId="4" borderId="2" xfId="0" applyNumberFormat="1" applyFont="1" applyFill="1" applyBorder="1" applyAlignment="1">
      <alignment horizontal="center" vertical="center" wrapText="1"/>
    </xf>
    <xf numFmtId="0" fontId="17" fillId="0" borderId="0" xfId="0" applyFont="1"/>
    <xf numFmtId="3" fontId="20" fillId="2" borderId="1" xfId="0" applyNumberFormat="1" applyFont="1" applyFill="1" applyBorder="1" applyAlignment="1" applyProtection="1">
      <alignment horizontal="center" vertical="center" wrapText="1"/>
    </xf>
    <xf numFmtId="3" fontId="19" fillId="3" borderId="1" xfId="0" applyNumberFormat="1" applyFont="1" applyFill="1" applyBorder="1" applyAlignment="1" applyProtection="1">
      <alignment horizontal="right" vertical="center" wrapText="1"/>
    </xf>
    <xf numFmtId="172" fontId="19" fillId="3" borderId="1" xfId="1" applyNumberFormat="1" applyFont="1" applyFill="1" applyBorder="1" applyAlignment="1" applyProtection="1">
      <alignment horizontal="center" vertical="center" wrapText="1"/>
    </xf>
    <xf numFmtId="9" fontId="19" fillId="3" borderId="1" xfId="0" applyNumberFormat="1" applyFont="1" applyFill="1" applyBorder="1" applyAlignment="1" applyProtection="1">
      <alignment horizontal="center" vertical="center" wrapText="1"/>
    </xf>
    <xf numFmtId="3" fontId="19" fillId="3" borderId="1" xfId="0" applyNumberFormat="1" applyFont="1" applyFill="1" applyBorder="1" applyAlignment="1" applyProtection="1">
      <alignment horizontal="center" vertical="center" wrapText="1"/>
    </xf>
    <xf numFmtId="164" fontId="19" fillId="3" borderId="1" xfId="1" applyNumberFormat="1"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33"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left" vertical="center" wrapText="1"/>
    </xf>
    <xf numFmtId="0" fontId="31"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37" fontId="20" fillId="2" borderId="1" xfId="0" applyNumberFormat="1" applyFont="1" applyFill="1" applyBorder="1" applyAlignment="1">
      <alignment horizontal="right" vertical="center" wrapText="1"/>
    </xf>
    <xf numFmtId="0" fontId="8" fillId="2" borderId="1" xfId="4" applyNumberFormat="1" applyFont="1" applyFill="1" applyBorder="1" applyAlignment="1" applyProtection="1">
      <alignment horizontal="center" vertical="center" wrapText="1"/>
    </xf>
    <xf numFmtId="0" fontId="8" fillId="2" borderId="1" xfId="2" applyFont="1" applyFill="1" applyBorder="1" applyAlignment="1"/>
    <xf numFmtId="0" fontId="9" fillId="2" borderId="1" xfId="2" applyFont="1" applyFill="1" applyBorder="1" applyAlignment="1" applyProtection="1">
      <alignment horizontal="center" vertical="center" wrapText="1"/>
    </xf>
    <xf numFmtId="166" fontId="19" fillId="3" borderId="1" xfId="0" applyNumberFormat="1" applyFont="1" applyFill="1" applyBorder="1" applyAlignment="1">
      <alignment horizontal="center" vertical="center" wrapText="1"/>
    </xf>
    <xf numFmtId="9" fontId="19" fillId="2" borderId="1" xfId="2" applyNumberFormat="1" applyFont="1" applyFill="1" applyBorder="1" applyAlignment="1">
      <alignment horizontal="center" vertical="center" wrapText="1"/>
    </xf>
    <xf numFmtId="0" fontId="20" fillId="2" borderId="1" xfId="2" applyFont="1" applyFill="1" applyBorder="1" applyAlignment="1" applyProtection="1">
      <alignment horizontal="center" vertical="center" wrapText="1"/>
    </xf>
    <xf numFmtId="0" fontId="34" fillId="3" borderId="1" xfId="0" applyFont="1" applyFill="1" applyBorder="1" applyAlignment="1" applyProtection="1">
      <alignment horizontal="left" vertical="center" wrapText="1"/>
    </xf>
    <xf numFmtId="167" fontId="22" fillId="3" borderId="1" xfId="2" applyNumberFormat="1" applyFont="1" applyFill="1" applyBorder="1" applyAlignment="1">
      <alignment horizontal="right" vertical="center" wrapText="1"/>
    </xf>
    <xf numFmtId="0" fontId="22" fillId="0" borderId="1" xfId="2" applyFont="1" applyFill="1" applyBorder="1" applyAlignment="1">
      <alignment horizontal="center" vertical="center" wrapText="1"/>
    </xf>
    <xf numFmtId="3" fontId="22" fillId="0" borderId="1"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0" fontId="35" fillId="0" borderId="1" xfId="2" applyFont="1" applyFill="1" applyBorder="1" applyAlignment="1">
      <alignment horizontal="center" vertical="center" wrapText="1"/>
    </xf>
    <xf numFmtId="0" fontId="24"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0" fillId="0" borderId="0" xfId="0" applyFont="1" applyFill="1"/>
    <xf numFmtId="167" fontId="22" fillId="0" borderId="1" xfId="2" applyNumberFormat="1" applyFont="1" applyFill="1" applyBorder="1" applyAlignment="1">
      <alignment horizontal="right" vertical="center" wrapText="1"/>
    </xf>
    <xf numFmtId="9" fontId="22" fillId="0" borderId="1" xfId="2" applyNumberFormat="1" applyFont="1" applyFill="1" applyBorder="1" applyAlignment="1" applyProtection="1">
      <alignment horizontal="center" vertical="center" wrapText="1"/>
    </xf>
    <xf numFmtId="3" fontId="22" fillId="0" borderId="1"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0" fontId="24" fillId="0" borderId="1" xfId="2" applyFont="1" applyFill="1" applyBorder="1" applyAlignment="1">
      <alignment horizontal="center" vertical="center" wrapText="1"/>
    </xf>
    <xf numFmtId="0" fontId="22"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6"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9" fontId="22" fillId="0" borderId="1" xfId="2" applyNumberFormat="1" applyFont="1" applyFill="1" applyBorder="1" applyAlignment="1">
      <alignment horizontal="center" vertical="center" wrapText="1"/>
    </xf>
    <xf numFmtId="3" fontId="22" fillId="0" borderId="1" xfId="2" applyNumberFormat="1" applyFont="1" applyFill="1" applyBorder="1" applyAlignment="1">
      <alignment horizontal="center" vertical="center" wrapText="1"/>
    </xf>
    <xf numFmtId="167" fontId="22" fillId="0" borderId="1" xfId="2" applyNumberFormat="1" applyFont="1" applyFill="1" applyBorder="1" applyAlignment="1">
      <alignment horizontal="center" vertical="center" wrapText="1"/>
    </xf>
    <xf numFmtId="0" fontId="22" fillId="0" borderId="1" xfId="2" applyFont="1" applyFill="1" applyBorder="1" applyAlignment="1">
      <alignment horizontal="left" vertical="center" wrapText="1"/>
    </xf>
    <xf numFmtId="0" fontId="35" fillId="0" borderId="1" xfId="3" applyFont="1" applyFill="1" applyBorder="1" applyAlignment="1">
      <alignment vertical="center" wrapText="1"/>
    </xf>
    <xf numFmtId="0" fontId="22" fillId="0" borderId="1" xfId="3" applyFont="1" applyFill="1" applyBorder="1" applyAlignment="1">
      <alignment vertical="center" wrapText="1"/>
    </xf>
    <xf numFmtId="0" fontId="24" fillId="0" borderId="1" xfId="0" applyNumberFormat="1" applyFont="1" applyFill="1" applyBorder="1" applyAlignment="1">
      <alignment horizontal="center" vertical="center" wrapText="1"/>
    </xf>
    <xf numFmtId="0" fontId="8" fillId="3" borderId="0" xfId="0" applyFont="1" applyFill="1" applyAlignment="1">
      <alignment horizontal="left" vertical="center" wrapText="1"/>
    </xf>
    <xf numFmtId="170" fontId="8" fillId="3" borderId="1" xfId="1" applyNumberFormat="1" applyFont="1" applyFill="1" applyBorder="1" applyAlignment="1">
      <alignment horizontal="right" vertical="center" wrapText="1"/>
    </xf>
    <xf numFmtId="164" fontId="8" fillId="3" borderId="1" xfId="0" applyNumberFormat="1" applyFont="1" applyFill="1" applyBorder="1" applyAlignment="1">
      <alignment horizontal="center" vertical="center" wrapText="1"/>
    </xf>
    <xf numFmtId="9" fontId="8" fillId="3" borderId="1" xfId="3" applyNumberFormat="1" applyFont="1" applyFill="1" applyBorder="1" applyAlignment="1">
      <alignment horizontal="center" vertical="center" wrapText="1"/>
    </xf>
    <xf numFmtId="167" fontId="8" fillId="3" borderId="1" xfId="3" applyNumberFormat="1" applyFont="1" applyFill="1" applyBorder="1" applyAlignment="1">
      <alignment horizontal="right" vertical="center" wrapText="1"/>
    </xf>
    <xf numFmtId="2" fontId="8" fillId="3" borderId="1" xfId="3" applyNumberFormat="1" applyFont="1" applyFill="1" applyBorder="1" applyAlignment="1">
      <alignment horizontal="center" vertical="center" wrapText="1"/>
    </xf>
    <xf numFmtId="0" fontId="8" fillId="3" borderId="1" xfId="3" applyFont="1" applyFill="1" applyBorder="1" applyAlignment="1">
      <alignment horizontal="center" vertical="center" wrapText="1"/>
    </xf>
    <xf numFmtId="0" fontId="36" fillId="3" borderId="1" xfId="3" applyFont="1" applyFill="1" applyBorder="1" applyAlignment="1">
      <alignment horizontal="center" vertical="center" wrapText="1"/>
    </xf>
    <xf numFmtId="0" fontId="37" fillId="3" borderId="1" xfId="3" applyFont="1" applyFill="1" applyBorder="1" applyAlignment="1">
      <alignment vertical="center" wrapText="1"/>
    </xf>
    <xf numFmtId="168" fontId="22" fillId="0" borderId="1" xfId="2" applyNumberFormat="1" applyFont="1" applyFill="1" applyBorder="1" applyAlignment="1">
      <alignment horizontal="center" vertical="center" wrapText="1"/>
    </xf>
    <xf numFmtId="0" fontId="39" fillId="0" borderId="1" xfId="0" applyFont="1" applyBorder="1" applyAlignment="1">
      <alignment horizontal="center" vertical="center"/>
    </xf>
    <xf numFmtId="37" fontId="22" fillId="0" borderId="1" xfId="2" applyNumberFormat="1" applyFont="1" applyFill="1" applyBorder="1" applyAlignment="1">
      <alignment horizontal="righ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169" fontId="22" fillId="0" borderId="1" xfId="2" applyNumberFormat="1" applyFont="1" applyFill="1" applyBorder="1" applyAlignment="1">
      <alignment horizontal="center" vertical="center" wrapText="1"/>
    </xf>
    <xf numFmtId="9" fontId="22" fillId="3" borderId="1" xfId="2" applyNumberFormat="1" applyFont="1" applyFill="1" applyBorder="1" applyAlignment="1">
      <alignment horizontal="center" vertical="center" wrapText="1"/>
    </xf>
    <xf numFmtId="169" fontId="22" fillId="3" borderId="1" xfId="2" applyNumberFormat="1" applyFont="1" applyFill="1" applyBorder="1" applyAlignment="1">
      <alignment horizontal="center" vertical="center" wrapText="1"/>
    </xf>
    <xf numFmtId="0" fontId="35" fillId="3" borderId="1" xfId="2" applyFont="1" applyFill="1" applyBorder="1" applyAlignment="1">
      <alignment horizontal="center" vertical="center" wrapText="1"/>
    </xf>
    <xf numFmtId="0" fontId="22" fillId="3" borderId="1" xfId="3" applyFont="1" applyFill="1" applyBorder="1" applyAlignment="1">
      <alignment horizontal="left" vertical="center" wrapText="1"/>
    </xf>
    <xf numFmtId="0" fontId="35" fillId="3" borderId="1" xfId="3" applyFont="1" applyFill="1" applyBorder="1" applyAlignment="1">
      <alignment vertical="center" wrapText="1"/>
    </xf>
    <xf numFmtId="0" fontId="22" fillId="3" borderId="1" xfId="3" applyFont="1" applyFill="1" applyBorder="1" applyAlignment="1">
      <alignment vertical="center" wrapText="1"/>
    </xf>
    <xf numFmtId="0" fontId="0" fillId="0" borderId="0" xfId="0" applyFill="1"/>
    <xf numFmtId="0" fontId="25" fillId="0" borderId="1" xfId="2" applyFont="1" applyFill="1" applyBorder="1" applyAlignment="1" applyProtection="1">
      <alignment horizontal="center" vertical="center" wrapText="1"/>
    </xf>
    <xf numFmtId="0" fontId="26" fillId="0" borderId="1" xfId="2"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37" fontId="22" fillId="0" borderId="1" xfId="2" applyNumberFormat="1" applyFont="1" applyBorder="1" applyAlignment="1">
      <alignment horizontal="right" vertical="center" wrapText="1"/>
    </xf>
    <xf numFmtId="9" fontId="22" fillId="0" borderId="1" xfId="2" applyNumberFormat="1" applyFont="1" applyBorder="1" applyAlignment="1">
      <alignment horizontal="center" vertical="center" wrapText="1"/>
    </xf>
    <xf numFmtId="0" fontId="22" fillId="0" borderId="1" xfId="3" applyFont="1" applyFill="1" applyBorder="1" applyAlignment="1">
      <alignment horizontal="center" vertical="center" wrapText="1"/>
    </xf>
    <xf numFmtId="0" fontId="35" fillId="0" borderId="1" xfId="2" applyFont="1" applyBorder="1" applyAlignment="1">
      <alignment horizontal="center" vertical="center" wrapText="1"/>
    </xf>
    <xf numFmtId="0" fontId="0" fillId="0" borderId="1" xfId="0" applyBorder="1" applyAlignment="1"/>
    <xf numFmtId="3" fontId="22" fillId="0" borderId="1" xfId="0" applyNumberFormat="1" applyFont="1" applyFill="1" applyBorder="1" applyAlignment="1">
      <alignment horizontal="center" vertical="center"/>
    </xf>
    <xf numFmtId="0" fontId="35" fillId="0" borderId="1" xfId="2" applyFont="1" applyFill="1" applyBorder="1" applyAlignment="1"/>
    <xf numFmtId="3" fontId="22" fillId="3" borderId="1" xfId="0" applyNumberFormat="1" applyFont="1" applyFill="1" applyBorder="1" applyAlignment="1" applyProtection="1">
      <alignment horizontal="right" vertical="center" wrapText="1"/>
    </xf>
    <xf numFmtId="172" fontId="22" fillId="3" borderId="1" xfId="1" applyNumberFormat="1" applyFont="1" applyFill="1" applyBorder="1" applyAlignment="1" applyProtection="1">
      <alignment horizontal="center" vertical="center" wrapText="1"/>
    </xf>
    <xf numFmtId="171" fontId="22" fillId="3" borderId="1" xfId="0" applyNumberFormat="1" applyFont="1" applyFill="1" applyBorder="1" applyAlignment="1" applyProtection="1">
      <alignment horizontal="center" vertical="center" wrapText="1"/>
    </xf>
    <xf numFmtId="3" fontId="22" fillId="3" borderId="1" xfId="0" applyNumberFormat="1" applyFont="1" applyFill="1" applyBorder="1" applyAlignment="1" applyProtection="1">
      <alignment horizontal="center" vertical="center" wrapText="1"/>
    </xf>
    <xf numFmtId="164" fontId="22" fillId="3" borderId="1" xfId="1" applyNumberFormat="1" applyFont="1" applyFill="1" applyBorder="1" applyAlignment="1" applyProtection="1">
      <alignment horizontal="center" vertical="center" wrapText="1"/>
    </xf>
    <xf numFmtId="0" fontId="35" fillId="3" borderId="1"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43" fillId="2" borderId="1" xfId="5" applyFont="1" applyFill="1" applyBorder="1" applyAlignment="1">
      <alignment horizontal="left" vertical="center" wrapText="1"/>
    </xf>
    <xf numFmtId="37" fontId="26" fillId="3" borderId="1" xfId="0" applyNumberFormat="1" applyFont="1" applyFill="1" applyBorder="1" applyAlignment="1">
      <alignment horizontal="right" vertical="center" wrapText="1"/>
    </xf>
    <xf numFmtId="0" fontId="3" fillId="2" borderId="4" xfId="0" applyNumberFormat="1" applyFont="1" applyFill="1" applyBorder="1" applyAlignment="1">
      <alignment vertical="center" wrapText="1"/>
    </xf>
    <xf numFmtId="3" fontId="8" fillId="2" borderId="1" xfId="2" applyNumberFormat="1" applyFont="1" applyFill="1" applyBorder="1" applyAlignment="1" applyProtection="1">
      <alignment horizontal="right" vertical="center" wrapText="1"/>
    </xf>
    <xf numFmtId="3" fontId="9" fillId="2" borderId="1" xfId="2" applyNumberFormat="1" applyFont="1" applyFill="1" applyBorder="1" applyAlignment="1" applyProtection="1">
      <alignment horizontal="right" vertical="center" wrapText="1"/>
    </xf>
    <xf numFmtId="0" fontId="9" fillId="2" borderId="1" xfId="0" applyFont="1" applyFill="1" applyBorder="1" applyAlignment="1">
      <alignment horizontal="left" vertical="center" wrapText="1"/>
    </xf>
    <xf numFmtId="0" fontId="8" fillId="2" borderId="1" xfId="1"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3" fontId="19" fillId="4" borderId="2" xfId="0" applyNumberFormat="1" applyFont="1" applyFill="1" applyBorder="1" applyAlignment="1">
      <alignment horizontal="right" vertical="center" wrapText="1"/>
    </xf>
    <xf numFmtId="9" fontId="19" fillId="2" borderId="1" xfId="2" applyNumberFormat="1" applyFont="1" applyFill="1" applyBorder="1" applyAlignment="1" applyProtection="1">
      <alignment horizontal="center" vertical="center" wrapText="1"/>
    </xf>
    <xf numFmtId="3" fontId="27" fillId="0" borderId="1" xfId="0" applyNumberFormat="1" applyFont="1" applyBorder="1" applyAlignment="1">
      <alignment horizontal="right" vertical="center" wrapText="1"/>
    </xf>
    <xf numFmtId="0" fontId="19" fillId="3" borderId="1"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3" fontId="44" fillId="3" borderId="1" xfId="0" applyNumberFormat="1" applyFont="1" applyFill="1" applyBorder="1" applyAlignment="1">
      <alignment vertical="center" wrapText="1"/>
    </xf>
    <xf numFmtId="9" fontId="44" fillId="3" borderId="1" xfId="0" applyNumberFormat="1" applyFont="1" applyFill="1" applyBorder="1" applyAlignment="1">
      <alignment horizontal="center" vertical="center" wrapText="1"/>
    </xf>
    <xf numFmtId="3" fontId="45" fillId="0" borderId="1" xfId="0" applyNumberFormat="1" applyFont="1" applyBorder="1" applyAlignment="1">
      <alignment horizontal="right" vertical="center"/>
    </xf>
    <xf numFmtId="172" fontId="44" fillId="3" borderId="1" xfId="1" applyFont="1" applyFill="1" applyBorder="1" applyAlignment="1">
      <alignment horizontal="right" vertical="center" wrapText="1"/>
    </xf>
    <xf numFmtId="0" fontId="46" fillId="4" borderId="1" xfId="0" applyFont="1" applyFill="1" applyBorder="1" applyAlignment="1">
      <alignment horizontal="center" vertical="center" wrapText="1"/>
    </xf>
    <xf numFmtId="37" fontId="19" fillId="2" borderId="1" xfId="2" applyNumberFormat="1" applyFont="1" applyFill="1" applyBorder="1" applyAlignment="1">
      <alignment horizontal="right" vertical="center" wrapText="1"/>
    </xf>
    <xf numFmtId="3" fontId="48" fillId="0" borderId="1" xfId="0" applyNumberFormat="1" applyFont="1" applyBorder="1" applyAlignment="1">
      <alignment horizontal="right" vertical="center"/>
    </xf>
    <xf numFmtId="3" fontId="26" fillId="3" borderId="1" xfId="2" applyNumberFormat="1" applyFont="1" applyFill="1" applyBorder="1" applyAlignment="1" applyProtection="1">
      <alignment horizontal="center" vertical="center" wrapText="1"/>
    </xf>
    <xf numFmtId="0" fontId="8" fillId="0" borderId="0" xfId="0" applyFont="1" applyAlignment="1">
      <alignment horizontal="left" vertical="center" wrapText="1"/>
    </xf>
    <xf numFmtId="165" fontId="8" fillId="0" borderId="0" xfId="0" applyNumberFormat="1" applyFont="1" applyAlignment="1">
      <alignment horizontal="left" vertical="center" wrapText="1"/>
    </xf>
    <xf numFmtId="0" fontId="8" fillId="0" borderId="0" xfId="0" applyFont="1" applyAlignment="1">
      <alignment horizontal="center" vertical="center" wrapText="1"/>
    </xf>
    <xf numFmtId="3" fontId="8" fillId="0" borderId="0" xfId="0" applyNumberFormat="1" applyFont="1" applyAlignment="1">
      <alignment horizontal="center" vertical="center" wrapText="1"/>
    </xf>
    <xf numFmtId="37" fontId="8" fillId="0" borderId="1" xfId="6" applyNumberFormat="1" applyFont="1" applyFill="1" applyBorder="1" applyAlignment="1">
      <alignment horizontal="center" vertical="center" wrapText="1"/>
    </xf>
    <xf numFmtId="0" fontId="8" fillId="0" borderId="1" xfId="6" applyNumberFormat="1" applyFont="1" applyFill="1" applyBorder="1" applyAlignment="1">
      <alignment horizontal="center" vertical="center" wrapText="1"/>
    </xf>
    <xf numFmtId="173" fontId="8" fillId="0" borderId="1" xfId="6" quotePrefix="1" applyNumberFormat="1" applyFont="1" applyFill="1" applyBorder="1" applyAlignment="1">
      <alignment horizontal="center" vertical="center" wrapText="1"/>
    </xf>
    <xf numFmtId="3" fontId="8" fillId="0" borderId="1" xfId="6"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49" fontId="49" fillId="0" borderId="1" xfId="7" applyNumberFormat="1" applyFont="1" applyFill="1" applyBorder="1" applyAlignment="1">
      <alignment horizontal="center" vertical="center" wrapText="1"/>
    </xf>
    <xf numFmtId="49" fontId="8" fillId="0" borderId="1" xfId="7" applyNumberFormat="1" applyFont="1" applyFill="1" applyBorder="1" applyAlignment="1">
      <alignment horizontal="center" vertical="center" wrapText="1"/>
    </xf>
    <xf numFmtId="0" fontId="36" fillId="2" borderId="1" xfId="7" applyFont="1" applyFill="1" applyBorder="1" applyAlignment="1">
      <alignment horizontal="center" vertical="center" wrapText="1"/>
    </xf>
    <xf numFmtId="0" fontId="8" fillId="2" borderId="1" xfId="7" applyFont="1" applyFill="1" applyBorder="1" applyAlignment="1">
      <alignment horizontal="center" vertical="center" wrapText="1"/>
    </xf>
    <xf numFmtId="0" fontId="9" fillId="0" borderId="0" xfId="0" applyFont="1" applyAlignment="1">
      <alignment horizontal="center" vertical="center" wrapText="1"/>
    </xf>
    <xf numFmtId="0" fontId="50" fillId="0" borderId="0" xfId="0" applyFont="1" applyAlignment="1">
      <alignment horizontal="center" vertical="center" wrapText="1"/>
    </xf>
    <xf numFmtId="37" fontId="9" fillId="0" borderId="1" xfId="6" applyNumberFormat="1" applyFont="1" applyFill="1" applyBorder="1" applyAlignment="1">
      <alignment horizontal="center" vertical="center" wrapText="1"/>
    </xf>
    <xf numFmtId="0" fontId="9" fillId="0" borderId="1" xfId="6" applyNumberFormat="1" applyFont="1" applyFill="1" applyBorder="1" applyAlignment="1">
      <alignment horizontal="center" vertical="center" wrapText="1"/>
    </xf>
    <xf numFmtId="173" fontId="9" fillId="0" borderId="1" xfId="6"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wrapText="1"/>
    </xf>
    <xf numFmtId="0" fontId="87" fillId="3" borderId="1" xfId="195" applyFont="1" applyFill="1" applyBorder="1" applyAlignment="1">
      <alignment horizontal="center" vertical="center" wrapText="1"/>
    </xf>
    <xf numFmtId="0" fontId="87" fillId="2" borderId="1" xfId="195" applyFont="1" applyFill="1" applyBorder="1" applyAlignment="1">
      <alignment horizontal="center" vertical="center" wrapText="1"/>
    </xf>
    <xf numFmtId="0" fontId="88" fillId="3" borderId="0" xfId="195" applyFont="1" applyFill="1"/>
    <xf numFmtId="0" fontId="87" fillId="3" borderId="1" xfId="195" quotePrefix="1" applyFont="1" applyFill="1" applyBorder="1" applyAlignment="1">
      <alignment horizontal="center" vertical="center" wrapText="1"/>
    </xf>
    <xf numFmtId="0" fontId="8" fillId="3" borderId="1" xfId="195" applyFont="1" applyFill="1" applyBorder="1" applyAlignment="1">
      <alignment horizontal="center" vertical="center" wrapText="1"/>
    </xf>
    <xf numFmtId="0" fontId="8" fillId="2" borderId="1" xfId="195" applyFont="1" applyFill="1" applyBorder="1" applyAlignment="1">
      <alignment horizontal="center" vertical="center" wrapText="1"/>
    </xf>
    <xf numFmtId="0" fontId="8" fillId="3" borderId="1" xfId="194" applyFont="1" applyFill="1" applyBorder="1" applyAlignment="1">
      <alignment horizontal="left" vertical="center" wrapText="1"/>
    </xf>
    <xf numFmtId="165" fontId="2" fillId="3" borderId="1" xfId="185" applyNumberFormat="1" applyFont="1" applyFill="1" applyBorder="1" applyAlignment="1">
      <alignment horizontal="center" vertical="center" wrapText="1"/>
    </xf>
    <xf numFmtId="0" fontId="8" fillId="3" borderId="1" xfId="194" applyFont="1" applyFill="1" applyBorder="1" applyAlignment="1">
      <alignment horizontal="center"/>
    </xf>
    <xf numFmtId="0" fontId="63" fillId="3" borderId="0" xfId="194" applyFont="1" applyFill="1"/>
    <xf numFmtId="0" fontId="2" fillId="0" borderId="1" xfId="196" applyFont="1" applyFill="1" applyBorder="1" applyAlignment="1">
      <alignment vertical="center" wrapText="1"/>
    </xf>
    <xf numFmtId="0" fontId="2" fillId="0" borderId="1" xfId="196" applyFont="1" applyBorder="1" applyAlignment="1">
      <alignment vertical="center" wrapText="1"/>
    </xf>
    <xf numFmtId="0" fontId="2" fillId="3" borderId="1" xfId="194" applyFont="1" applyFill="1" applyBorder="1" applyAlignment="1">
      <alignment horizontal="center"/>
    </xf>
    <xf numFmtId="0" fontId="89" fillId="3" borderId="0" xfId="194" applyFont="1" applyFill="1"/>
    <xf numFmtId="0" fontId="90" fillId="2" borderId="1" xfId="195" applyFont="1" applyFill="1" applyBorder="1" applyAlignment="1">
      <alignment horizontal="center" vertical="center" wrapText="1"/>
    </xf>
    <xf numFmtId="0" fontId="91" fillId="3" borderId="0" xfId="195" applyFont="1" applyFill="1"/>
    <xf numFmtId="0" fontId="91" fillId="3" borderId="0" xfId="186" applyFont="1" applyFill="1"/>
    <xf numFmtId="0" fontId="22" fillId="3" borderId="1" xfId="195" applyFont="1" applyFill="1" applyBorder="1" applyAlignment="1">
      <alignment horizontal="center" vertical="center" wrapText="1"/>
    </xf>
    <xf numFmtId="0" fontId="92" fillId="2" borderId="1" xfId="195" applyFont="1" applyFill="1" applyBorder="1" applyAlignment="1">
      <alignment horizontal="center" vertical="center" wrapText="1"/>
    </xf>
    <xf numFmtId="0" fontId="22" fillId="3" borderId="1" xfId="194" applyFont="1" applyFill="1" applyBorder="1" applyAlignment="1">
      <alignment horizontal="left" vertical="center" wrapText="1"/>
    </xf>
    <xf numFmtId="165" fontId="22" fillId="3" borderId="1" xfId="185" applyNumberFormat="1" applyFont="1" applyFill="1" applyBorder="1" applyAlignment="1">
      <alignment horizontal="center" vertical="center" wrapText="1"/>
    </xf>
    <xf numFmtId="0" fontId="93" fillId="3" borderId="0" xfId="186" applyFont="1" applyFill="1"/>
    <xf numFmtId="0" fontId="22" fillId="2" borderId="1" xfId="194" applyFont="1" applyFill="1" applyBorder="1" applyAlignment="1">
      <alignment horizontal="left" vertical="center" wrapText="1"/>
    </xf>
    <xf numFmtId="165" fontId="22" fillId="2" borderId="1" xfId="185" applyNumberFormat="1" applyFont="1" applyFill="1" applyBorder="1" applyAlignment="1">
      <alignment horizontal="center" vertical="center" wrapText="1"/>
    </xf>
    <xf numFmtId="0" fontId="93" fillId="2" borderId="0" xfId="186" applyFont="1" applyFill="1" applyAlignment="1">
      <alignment vertical="center"/>
    </xf>
    <xf numFmtId="0" fontId="93" fillId="2" borderId="0" xfId="186" applyFont="1" applyFill="1"/>
    <xf numFmtId="0" fontId="22" fillId="2" borderId="1" xfId="196" applyFont="1" applyFill="1" applyBorder="1" applyAlignment="1">
      <alignment vertical="center" wrapText="1"/>
    </xf>
    <xf numFmtId="0" fontId="22" fillId="3" borderId="1" xfId="196" applyFont="1" applyFill="1" applyBorder="1" applyAlignment="1">
      <alignment vertical="center" wrapText="1"/>
    </xf>
    <xf numFmtId="0" fontId="94" fillId="3" borderId="23" xfId="186" applyFont="1" applyFill="1" applyBorder="1" applyAlignment="1">
      <alignment horizontal="center"/>
    </xf>
    <xf numFmtId="165" fontId="94" fillId="3" borderId="23" xfId="186" applyNumberFormat="1" applyFont="1" applyFill="1" applyBorder="1" applyAlignment="1">
      <alignment horizontal="center"/>
    </xf>
    <xf numFmtId="0" fontId="95" fillId="3" borderId="0" xfId="186" applyFont="1" applyFill="1"/>
    <xf numFmtId="0" fontId="39" fillId="2" borderId="0" xfId="194" applyFont="1" applyFill="1" applyAlignment="1">
      <alignment horizontal="center"/>
    </xf>
    <xf numFmtId="165" fontId="39" fillId="3" borderId="0" xfId="194" applyNumberFormat="1" applyFont="1" applyFill="1"/>
    <xf numFmtId="0" fontId="39" fillId="3" borderId="0" xfId="194" applyFont="1" applyFill="1" applyAlignment="1"/>
    <xf numFmtId="165" fontId="39" fillId="3" borderId="0" xfId="194" applyNumberFormat="1" applyFont="1" applyFill="1" applyAlignment="1">
      <alignment horizontal="center"/>
    </xf>
    <xf numFmtId="0" fontId="39" fillId="3" borderId="0" xfId="194" applyFont="1" applyFill="1" applyAlignment="1">
      <alignment horizontal="center" vertical="center"/>
    </xf>
    <xf numFmtId="0" fontId="96" fillId="3" borderId="0" xfId="194" applyFont="1" applyFill="1"/>
    <xf numFmtId="0" fontId="97" fillId="2" borderId="0" xfId="194" applyFont="1" applyFill="1" applyAlignment="1">
      <alignment horizontal="center"/>
    </xf>
    <xf numFmtId="165" fontId="97" fillId="3" borderId="0" xfId="194" applyNumberFormat="1" applyFont="1" applyFill="1"/>
    <xf numFmtId="0" fontId="97" fillId="3" borderId="0" xfId="194" applyFont="1" applyFill="1" applyAlignment="1"/>
    <xf numFmtId="165" fontId="97" fillId="3" borderId="0" xfId="194" applyNumberFormat="1" applyFont="1" applyFill="1" applyAlignment="1">
      <alignment horizontal="center"/>
    </xf>
    <xf numFmtId="0" fontId="97" fillId="3" borderId="0" xfId="194" applyFont="1" applyFill="1" applyAlignment="1">
      <alignment horizontal="center" vertical="center"/>
    </xf>
    <xf numFmtId="0" fontId="98" fillId="3" borderId="0" xfId="194" applyFont="1" applyFill="1"/>
    <xf numFmtId="0" fontId="9" fillId="2" borderId="1" xfId="0" applyFont="1" applyFill="1" applyBorder="1" applyAlignment="1">
      <alignment horizontal="left" vertical="center" wrapText="1"/>
    </xf>
    <xf numFmtId="0" fontId="9" fillId="2" borderId="6" xfId="2" applyFont="1" applyFill="1" applyBorder="1" applyAlignment="1">
      <alignment horizontal="left" vertical="center" wrapText="1"/>
    </xf>
    <xf numFmtId="0" fontId="9" fillId="2" borderId="5" xfId="2" applyFont="1" applyFill="1" applyBorder="1" applyAlignment="1">
      <alignment horizontal="left" vertical="center" wrapText="1"/>
    </xf>
    <xf numFmtId="0" fontId="9" fillId="2" borderId="4" xfId="2"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2" borderId="9"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2" borderId="7" xfId="2" applyFont="1" applyFill="1" applyBorder="1" applyAlignment="1">
      <alignment horizontal="left" vertical="center" wrapText="1"/>
    </xf>
    <xf numFmtId="0" fontId="3" fillId="2" borderId="6"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6" fillId="2" borderId="1" xfId="0" applyFont="1" applyFill="1" applyBorder="1" applyAlignment="1">
      <alignment horizontal="left" vertical="center" wrapText="1"/>
    </xf>
    <xf numFmtId="9" fontId="19" fillId="2" borderId="1" xfId="0" applyNumberFormat="1" applyFont="1" applyFill="1" applyBorder="1" applyAlignment="1" applyProtection="1">
      <alignment horizontal="center" vertical="center" wrapText="1"/>
    </xf>
    <xf numFmtId="0" fontId="20" fillId="2" borderId="1" xfId="0" applyFont="1" applyFill="1" applyBorder="1" applyAlignment="1">
      <alignment horizontal="left" vertical="center" wrapText="1"/>
    </xf>
    <xf numFmtId="0" fontId="51" fillId="3" borderId="1" xfId="0" applyFont="1" applyFill="1" applyBorder="1" applyAlignment="1">
      <alignment horizontal="center" vertical="center" wrapText="1"/>
    </xf>
    <xf numFmtId="0" fontId="37" fillId="0" borderId="1" xfId="7" applyFont="1" applyFill="1" applyBorder="1" applyAlignment="1">
      <alignment horizontal="center" vertical="center" wrapText="1"/>
    </xf>
    <xf numFmtId="0" fontId="9" fillId="2" borderId="1" xfId="7" applyFont="1" applyFill="1" applyBorder="1" applyAlignment="1">
      <alignment horizontal="center" vertical="center" wrapText="1"/>
    </xf>
    <xf numFmtId="49" fontId="9" fillId="0" borderId="1" xfId="7" applyNumberFormat="1" applyFont="1" applyFill="1" applyBorder="1" applyAlignment="1">
      <alignment horizontal="center" vertical="center" wrapText="1"/>
    </xf>
    <xf numFmtId="0" fontId="9" fillId="0" borderId="1" xfId="7"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wrapText="1"/>
    </xf>
    <xf numFmtId="0" fontId="94" fillId="3" borderId="20" xfId="186" applyFont="1" applyFill="1" applyBorder="1" applyAlignment="1">
      <alignment horizontal="center"/>
    </xf>
    <xf numFmtId="0" fontId="94" fillId="3" borderId="21" xfId="186" applyFont="1" applyFill="1" applyBorder="1" applyAlignment="1">
      <alignment horizontal="center"/>
    </xf>
    <xf numFmtId="0" fontId="94" fillId="3" borderId="22" xfId="186" applyFont="1" applyFill="1" applyBorder="1" applyAlignment="1">
      <alignment horizontal="center"/>
    </xf>
    <xf numFmtId="0" fontId="87" fillId="3" borderId="1" xfId="195" quotePrefix="1" applyFont="1" applyFill="1" applyBorder="1" applyAlignment="1">
      <alignment horizontal="center" vertical="center" wrapText="1"/>
    </xf>
    <xf numFmtId="0" fontId="87" fillId="2" borderId="1" xfId="195"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2" fillId="3" borderId="1" xfId="0" applyFont="1" applyFill="1" applyBorder="1" applyAlignment="1" applyProtection="1">
      <alignment horizontal="left" vertical="center" wrapText="1"/>
    </xf>
    <xf numFmtId="3" fontId="26" fillId="2" borderId="1" xfId="0" applyNumberFormat="1" applyFont="1" applyFill="1" applyBorder="1" applyAlignment="1" applyProtection="1">
      <alignment horizontal="center" vertical="center" wrapText="1"/>
    </xf>
    <xf numFmtId="37" fontId="26" fillId="2" borderId="1" xfId="0" applyNumberFormat="1" applyFont="1" applyFill="1" applyBorder="1" applyAlignment="1">
      <alignment horizontal="right" vertical="center" wrapText="1"/>
    </xf>
    <xf numFmtId="0" fontId="22" fillId="4" borderId="1" xfId="0" applyFont="1" applyFill="1" applyBorder="1" applyAlignment="1">
      <alignment horizontal="center" vertical="center" wrapText="1"/>
    </xf>
    <xf numFmtId="0" fontId="22" fillId="3" borderId="1" xfId="1" applyNumberFormat="1" applyFont="1" applyFill="1" applyBorder="1" applyAlignment="1">
      <alignment horizontal="center" vertical="center" wrapText="1"/>
    </xf>
    <xf numFmtId="167" fontId="22" fillId="3" borderId="1" xfId="3" applyNumberFormat="1" applyFont="1" applyFill="1" applyBorder="1" applyAlignment="1">
      <alignment horizontal="right" vertical="center" wrapText="1"/>
    </xf>
    <xf numFmtId="9" fontId="22" fillId="3" borderId="1" xfId="0" applyNumberFormat="1" applyFont="1" applyFill="1" applyBorder="1" applyAlignment="1">
      <alignment horizontal="center" vertical="center" wrapText="1"/>
    </xf>
    <xf numFmtId="166" fontId="22" fillId="3" borderId="1" xfId="0" applyNumberFormat="1" applyFont="1" applyFill="1" applyBorder="1" applyAlignment="1">
      <alignment horizontal="center" vertical="center" wrapText="1"/>
    </xf>
    <xf numFmtId="3" fontId="22" fillId="3" borderId="1" xfId="0" applyNumberFormat="1" applyFont="1" applyFill="1" applyBorder="1" applyAlignment="1">
      <alignment vertical="center" wrapText="1"/>
    </xf>
    <xf numFmtId="0" fontId="100" fillId="3" borderId="1" xfId="3" applyFont="1" applyFill="1" applyBorder="1" applyAlignment="1">
      <alignment vertical="center" wrapText="1"/>
    </xf>
    <xf numFmtId="0" fontId="35" fillId="3" borderId="1" xfId="3" applyFont="1" applyFill="1" applyBorder="1" applyAlignment="1">
      <alignment horizontal="center" vertical="center" wrapText="1"/>
    </xf>
    <xf numFmtId="0" fontId="22" fillId="3" borderId="1" xfId="3" applyFont="1" applyFill="1" applyBorder="1" applyAlignment="1">
      <alignment horizontal="center" vertical="center" wrapText="1"/>
    </xf>
    <xf numFmtId="2" fontId="22" fillId="3" borderId="1" xfId="3" applyNumberFormat="1" applyFont="1" applyFill="1" applyBorder="1" applyAlignment="1">
      <alignment horizontal="center" vertical="center" wrapText="1"/>
    </xf>
    <xf numFmtId="9" fontId="22" fillId="3" borderId="1" xfId="3" applyNumberFormat="1"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170" fontId="22" fillId="3" borderId="1" xfId="1" applyNumberFormat="1" applyFont="1" applyFill="1" applyBorder="1" applyAlignment="1">
      <alignment horizontal="right" vertical="center" wrapText="1"/>
    </xf>
    <xf numFmtId="0" fontId="22" fillId="3" borderId="0" xfId="0" applyFont="1" applyFill="1" applyAlignment="1">
      <alignment horizontal="left" vertical="center" wrapText="1"/>
    </xf>
    <xf numFmtId="0" fontId="22" fillId="2" borderId="1" xfId="0" applyFont="1" applyFill="1" applyBorder="1" applyAlignment="1">
      <alignment horizontal="center" vertical="center" wrapText="1"/>
    </xf>
    <xf numFmtId="9" fontId="22" fillId="2" borderId="1" xfId="2" applyNumberFormat="1" applyFont="1" applyFill="1" applyBorder="1" applyAlignment="1">
      <alignment horizontal="center" vertical="center" wrapText="1"/>
    </xf>
    <xf numFmtId="37" fontId="22" fillId="2" borderId="1" xfId="2" applyNumberFormat="1" applyFont="1" applyFill="1" applyBorder="1" applyAlignment="1">
      <alignment horizontal="right" vertical="center" wrapText="1"/>
    </xf>
    <xf numFmtId="0" fontId="101" fillId="4" borderId="1" xfId="0" applyFont="1" applyFill="1" applyBorder="1" applyAlignment="1">
      <alignment horizontal="center" vertical="center" wrapText="1"/>
    </xf>
    <xf numFmtId="172" fontId="103" fillId="3" borderId="1" xfId="1" applyFont="1" applyFill="1" applyBorder="1" applyAlignment="1">
      <alignment horizontal="right" vertical="center" wrapText="1"/>
    </xf>
    <xf numFmtId="9" fontId="103" fillId="3" borderId="1" xfId="0" applyNumberFormat="1" applyFont="1" applyFill="1" applyBorder="1" applyAlignment="1">
      <alignment horizontal="center" vertical="center" wrapText="1"/>
    </xf>
    <xf numFmtId="3" fontId="103" fillId="3" borderId="1" xfId="0" applyNumberFormat="1" applyFont="1" applyFill="1" applyBorder="1" applyAlignment="1">
      <alignment vertical="center" wrapText="1"/>
    </xf>
    <xf numFmtId="0" fontId="22" fillId="3" borderId="3"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3" borderId="3" xfId="1" applyNumberFormat="1" applyFont="1" applyFill="1" applyBorder="1" applyAlignment="1">
      <alignment horizontal="center" vertical="center" wrapText="1"/>
    </xf>
    <xf numFmtId="9" fontId="22" fillId="3" borderId="3" xfId="0" applyNumberFormat="1" applyFont="1" applyFill="1" applyBorder="1" applyAlignment="1">
      <alignment horizontal="center" vertical="center" wrapText="1"/>
    </xf>
    <xf numFmtId="3" fontId="22" fillId="3" borderId="3" xfId="0" applyNumberFormat="1" applyFont="1" applyFill="1" applyBorder="1" applyAlignment="1">
      <alignment vertical="center" wrapText="1"/>
    </xf>
    <xf numFmtId="9" fontId="22" fillId="2" borderId="1" xfId="2" applyNumberFormat="1" applyFont="1" applyFill="1" applyBorder="1" applyAlignment="1" applyProtection="1">
      <alignment horizontal="center" vertical="center" wrapText="1"/>
    </xf>
    <xf numFmtId="0" fontId="22" fillId="4" borderId="2" xfId="0" applyNumberFormat="1" applyFont="1" applyFill="1" applyBorder="1" applyAlignment="1">
      <alignment horizontal="center" vertical="center" wrapText="1"/>
    </xf>
    <xf numFmtId="3" fontId="22" fillId="4" borderId="2" xfId="0" applyNumberFormat="1" applyFont="1" applyFill="1" applyBorder="1" applyAlignment="1">
      <alignment horizontal="right" vertical="center" wrapText="1"/>
    </xf>
  </cellXfs>
  <cellStyles count="243">
    <cellStyle name="??" xfId="8"/>
    <cellStyle name="?? [0.00]_PRODUCT DETAIL Q1" xfId="9"/>
    <cellStyle name="?? [0]" xfId="10"/>
    <cellStyle name="???? [0.00]_PRODUCT DETAIL Q1" xfId="11"/>
    <cellStyle name="????_PRODUCT DETAIL Q1" xfId="12"/>
    <cellStyle name="???[0]_Book1" xfId="13"/>
    <cellStyle name="???_???" xfId="14"/>
    <cellStyle name="??_(????)??????" xfId="15"/>
    <cellStyle name="20% - Accent1 2" xfId="16"/>
    <cellStyle name="20% - Accent1 3" xfId="17"/>
    <cellStyle name="20% - Accent1 4" xfId="18"/>
    <cellStyle name="20% - Accent1 5" xfId="19"/>
    <cellStyle name="20% - Accent2 2" xfId="20"/>
    <cellStyle name="20% - Accent2 3" xfId="21"/>
    <cellStyle name="20% - Accent2 4" xfId="22"/>
    <cellStyle name="20% - Accent2 5" xfId="23"/>
    <cellStyle name="20% - Accent3 2" xfId="24"/>
    <cellStyle name="20% - Accent3 3" xfId="25"/>
    <cellStyle name="20% - Accent3 4" xfId="26"/>
    <cellStyle name="20% - Accent3 5" xfId="27"/>
    <cellStyle name="20% - Accent4 2" xfId="28"/>
    <cellStyle name="20% - Accent4 3" xfId="29"/>
    <cellStyle name="20% - Accent4 4" xfId="30"/>
    <cellStyle name="20% - Accent4 5" xfId="31"/>
    <cellStyle name="20% - Accent5 2" xfId="32"/>
    <cellStyle name="20% - Accent5 3" xfId="33"/>
    <cellStyle name="20% - Accent5 4" xfId="34"/>
    <cellStyle name="20% - Accent5 5" xfId="35"/>
    <cellStyle name="20% - Accent6 2"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2" xfId="52"/>
    <cellStyle name="40% - Accent4 3" xfId="53"/>
    <cellStyle name="40% - Accent4 4" xfId="54"/>
    <cellStyle name="40% - Accent4 5" xfId="55"/>
    <cellStyle name="40% - Accent5 2" xfId="56"/>
    <cellStyle name="40% - Accent5 3" xfId="57"/>
    <cellStyle name="40% - Accent5 4" xfId="58"/>
    <cellStyle name="40% - Accent5 5" xfId="59"/>
    <cellStyle name="40% - Accent6 2" xfId="60"/>
    <cellStyle name="40% - Accent6 3" xfId="61"/>
    <cellStyle name="40% - Accent6 4" xfId="62"/>
    <cellStyle name="40% - Accent6 5" xfId="63"/>
    <cellStyle name="60% - Accent1 2" xfId="64"/>
    <cellStyle name="60% - Accent1 3" xfId="65"/>
    <cellStyle name="60% - Accent1 4" xfId="66"/>
    <cellStyle name="60% - Accent1 5" xfId="67"/>
    <cellStyle name="60% - Accent2 2" xfId="68"/>
    <cellStyle name="60% - Accent2 3" xfId="69"/>
    <cellStyle name="60% - Accent2 4" xfId="70"/>
    <cellStyle name="60% - Accent2 5" xfId="71"/>
    <cellStyle name="60% - Accent3 2" xfId="72"/>
    <cellStyle name="60% - Accent3 3" xfId="73"/>
    <cellStyle name="60% - Accent3 4" xfId="74"/>
    <cellStyle name="60% - Accent3 5" xfId="75"/>
    <cellStyle name="60% - Accent4 2" xfId="76"/>
    <cellStyle name="60% - Accent4 3" xfId="77"/>
    <cellStyle name="60% - Accent4 4" xfId="78"/>
    <cellStyle name="60% - Accent4 5" xfId="79"/>
    <cellStyle name="60% - Accent5 2" xfId="80"/>
    <cellStyle name="60% - Accent5 3" xfId="81"/>
    <cellStyle name="60% - Accent5 4" xfId="82"/>
    <cellStyle name="60% - Accent5 5" xfId="83"/>
    <cellStyle name="60% - Accent6 2" xfId="84"/>
    <cellStyle name="60% - Accent6 3" xfId="85"/>
    <cellStyle name="60% - Accent6 4" xfId="86"/>
    <cellStyle name="60% - Accent6 5" xfId="87"/>
    <cellStyle name="Accent1 2" xfId="88"/>
    <cellStyle name="Accent1 3" xfId="89"/>
    <cellStyle name="Accent1 4" xfId="90"/>
    <cellStyle name="Accent1 5" xfId="91"/>
    <cellStyle name="Accent2 2" xfId="92"/>
    <cellStyle name="Accent2 3" xfId="93"/>
    <cellStyle name="Accent2 4" xfId="94"/>
    <cellStyle name="Accent2 5" xfId="95"/>
    <cellStyle name="Accent3 2" xfId="96"/>
    <cellStyle name="Accent3 3" xfId="97"/>
    <cellStyle name="Accent3 4" xfId="98"/>
    <cellStyle name="Accent3 5" xfId="99"/>
    <cellStyle name="Accent4 2" xfId="100"/>
    <cellStyle name="Accent4 3" xfId="101"/>
    <cellStyle name="Accent4 4" xfId="102"/>
    <cellStyle name="Accent4 5" xfId="103"/>
    <cellStyle name="Accent5 2" xfId="104"/>
    <cellStyle name="Accent5 3" xfId="105"/>
    <cellStyle name="Accent5 4" xfId="106"/>
    <cellStyle name="Accent5 5" xfId="107"/>
    <cellStyle name="Accent6 2" xfId="108"/>
    <cellStyle name="Accent6 3" xfId="109"/>
    <cellStyle name="Accent6 4" xfId="110"/>
    <cellStyle name="Accent6 5" xfId="111"/>
    <cellStyle name="ÅëÈ­ [0]_¿ì¹°Åë" xfId="112"/>
    <cellStyle name="AeE­ [0]_INQUIRY ¿µ¾÷AßAø " xfId="113"/>
    <cellStyle name="ÅëÈ­ [0]_Sheet1" xfId="114"/>
    <cellStyle name="ÅëÈ­_¿ì¹°Åë" xfId="115"/>
    <cellStyle name="AeE­_INQUIRY ¿µ¾÷AßAø " xfId="116"/>
    <cellStyle name="ÅëÈ­_Sheet1" xfId="117"/>
    <cellStyle name="ÄÞ¸¶ [0]_¿ì¹°Åë" xfId="118"/>
    <cellStyle name="AÞ¸¶ [0]_INQUIRY ¿?¾÷AßAø " xfId="119"/>
    <cellStyle name="ÄÞ¸¶ [0]_Sheet1" xfId="120"/>
    <cellStyle name="ÄÞ¸¶_¿ì¹°Åë" xfId="121"/>
    <cellStyle name="AÞ¸¶_INQUIRY ¿?¾÷AßAø " xfId="122"/>
    <cellStyle name="ÄÞ¸¶_Sheet1" xfId="123"/>
    <cellStyle name="Bad 2" xfId="124"/>
    <cellStyle name="Bad 3" xfId="125"/>
    <cellStyle name="Bad 4" xfId="126"/>
    <cellStyle name="Bad 5" xfId="127"/>
    <cellStyle name="C?AØ_¿?¾÷CoE² " xfId="128"/>
    <cellStyle name="Ç¥ÁØ_´çÃÊ±¸ÀÔ»ý»ê" xfId="129"/>
    <cellStyle name="C￥AØ_¿μ¾÷CoE² " xfId="130"/>
    <cellStyle name="Ç¥ÁØ_±³°¢¼ö·®" xfId="131"/>
    <cellStyle name="Calculation 2" xfId="132"/>
    <cellStyle name="Calculation 3" xfId="133"/>
    <cellStyle name="Calculation 4" xfId="134"/>
    <cellStyle name="Calculation 5" xfId="135"/>
    <cellStyle name="Check Cell 2" xfId="136"/>
    <cellStyle name="Check Cell 3" xfId="137"/>
    <cellStyle name="Check Cell 4" xfId="138"/>
    <cellStyle name="Check Cell 5" xfId="139"/>
    <cellStyle name="Comma 2" xfId="6"/>
    <cellStyle name="Comma 3" xfId="140"/>
    <cellStyle name="Comma 3 2" xfId="4"/>
    <cellStyle name="Comma 4" xfId="1"/>
    <cellStyle name="Comma0" xfId="141"/>
    <cellStyle name="Currency0" xfId="142"/>
    <cellStyle name="Date" xfId="143"/>
    <cellStyle name="Explanatory Text 2" xfId="144"/>
    <cellStyle name="Explanatory Text 3" xfId="145"/>
    <cellStyle name="Explanatory Text 4" xfId="146"/>
    <cellStyle name="Explanatory Text 5" xfId="147"/>
    <cellStyle name="Fixed" xfId="148"/>
    <cellStyle name="Good 2" xfId="149"/>
    <cellStyle name="Good 3" xfId="150"/>
    <cellStyle name="Good 4" xfId="151"/>
    <cellStyle name="Good 5" xfId="152"/>
    <cellStyle name="Header1" xfId="153"/>
    <cellStyle name="Header2" xfId="154"/>
    <cellStyle name="Heading 1 2" xfId="155"/>
    <cellStyle name="Heading 1 3" xfId="156"/>
    <cellStyle name="Heading 1 4" xfId="157"/>
    <cellStyle name="Heading 1 5" xfId="158"/>
    <cellStyle name="Heading 2 2" xfId="159"/>
    <cellStyle name="Heading 2 3" xfId="160"/>
    <cellStyle name="Heading 2 4" xfId="161"/>
    <cellStyle name="Heading 2 5" xfId="162"/>
    <cellStyle name="Heading 3 2" xfId="163"/>
    <cellStyle name="Heading 3 3" xfId="164"/>
    <cellStyle name="Heading 3 4" xfId="165"/>
    <cellStyle name="Heading 3 5" xfId="166"/>
    <cellStyle name="Heading 4 2" xfId="167"/>
    <cellStyle name="Heading 4 3" xfId="168"/>
    <cellStyle name="Heading 4 4" xfId="169"/>
    <cellStyle name="Heading 4 5" xfId="170"/>
    <cellStyle name="Input 2" xfId="171"/>
    <cellStyle name="Input 3" xfId="172"/>
    <cellStyle name="Input 4" xfId="173"/>
    <cellStyle name="Input 5" xfId="174"/>
    <cellStyle name="Linked Cell 2" xfId="175"/>
    <cellStyle name="Linked Cell 3" xfId="176"/>
    <cellStyle name="Linked Cell 4" xfId="177"/>
    <cellStyle name="Linked Cell 5" xfId="178"/>
    <cellStyle name="Neutral 2" xfId="179"/>
    <cellStyle name="Neutral 3" xfId="180"/>
    <cellStyle name="Neutral 4" xfId="181"/>
    <cellStyle name="Neutral 5" xfId="182"/>
    <cellStyle name="Normal" xfId="0" builtinId="0"/>
    <cellStyle name="Normal - Style1" xfId="183"/>
    <cellStyle name="Normal 10" xfId="184"/>
    <cellStyle name="Normal 10 2" xfId="185"/>
    <cellStyle name="Normal 11" xfId="186"/>
    <cellStyle name="Normal 2" xfId="7"/>
    <cellStyle name="Normal 3" xfId="187"/>
    <cellStyle name="Normal 3 2" xfId="2"/>
    <cellStyle name="Normal 4" xfId="188"/>
    <cellStyle name="Normal 5" xfId="189"/>
    <cellStyle name="Normal 6" xfId="190"/>
    <cellStyle name="Normal 7" xfId="191"/>
    <cellStyle name="Normal 8" xfId="192"/>
    <cellStyle name="Normal 9" xfId="193"/>
    <cellStyle name="Normal_BTHDT1" xfId="194"/>
    <cellStyle name="Normal_EC_Promotion_Log_2009" xfId="195"/>
    <cellStyle name="Normal_gửi TNMT và Phường" xfId="196"/>
    <cellStyle name="Normal_Sheet1_1" xfId="3"/>
    <cellStyle name="Normal_Sheet1_Hoàn chỉnh BTX" xfId="5"/>
    <cellStyle name="Note 2" xfId="197"/>
    <cellStyle name="Note 3" xfId="198"/>
    <cellStyle name="Note 4" xfId="199"/>
    <cellStyle name="Note 5" xfId="200"/>
    <cellStyle name="Note 6" xfId="201"/>
    <cellStyle name="Note 7" xfId="202"/>
    <cellStyle name="Note 8" xfId="203"/>
    <cellStyle name="Note 9" xfId="204"/>
    <cellStyle name="Output 2" xfId="205"/>
    <cellStyle name="Output 3" xfId="206"/>
    <cellStyle name="Output 4" xfId="207"/>
    <cellStyle name="Output 5" xfId="208"/>
    <cellStyle name="Percent 2" xfId="209"/>
    <cellStyle name="Percent 3" xfId="210"/>
    <cellStyle name="T" xfId="211"/>
    <cellStyle name="th" xfId="212"/>
    <cellStyle name="Title 2" xfId="213"/>
    <cellStyle name="Title 3" xfId="214"/>
    <cellStyle name="Title 4" xfId="215"/>
    <cellStyle name="Title 5" xfId="216"/>
    <cellStyle name="Total 2" xfId="217"/>
    <cellStyle name="Total 3" xfId="218"/>
    <cellStyle name="Total 4" xfId="219"/>
    <cellStyle name="Total 5" xfId="220"/>
    <cellStyle name="viet" xfId="221"/>
    <cellStyle name="viet2" xfId="222"/>
    <cellStyle name="Warning Text 2" xfId="223"/>
    <cellStyle name="Warning Text 3" xfId="224"/>
    <cellStyle name="Warning Text 4" xfId="225"/>
    <cellStyle name="Warning Text 5" xfId="226"/>
    <cellStyle name="똿뗦먛귟 [0.00]_PRODUCT DETAIL Q1" xfId="227"/>
    <cellStyle name="똿뗦먛귟_PRODUCT DETAIL Q1" xfId="228"/>
    <cellStyle name="믅됞 [0.00]_PRODUCT DETAIL Q1" xfId="229"/>
    <cellStyle name="믅됞_PRODUCT DETAIL Q1" xfId="230"/>
    <cellStyle name="백분율_95" xfId="231"/>
    <cellStyle name="뷭?_BOOKSHIP" xfId="232"/>
    <cellStyle name="콤마 [0]_1202" xfId="233"/>
    <cellStyle name="콤마_1202" xfId="234"/>
    <cellStyle name="통화 [0]_1202" xfId="235"/>
    <cellStyle name="통화_1202" xfId="236"/>
    <cellStyle name="표준_(정보부문)월별인원계획" xfId="237"/>
    <cellStyle name="一般_Book1" xfId="238"/>
    <cellStyle name="千分位[0]_Book1" xfId="239"/>
    <cellStyle name="千分位_Book1" xfId="240"/>
    <cellStyle name="貨幣 [0]_Book1" xfId="241"/>
    <cellStyle name="貨幣_Book1" xfId="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170</xdr:row>
      <xdr:rowOff>0</xdr:rowOff>
    </xdr:from>
    <xdr:to>
      <xdr:col>6</xdr:col>
      <xdr:colOff>76200</xdr:colOff>
      <xdr:row>171</xdr:row>
      <xdr:rowOff>228600</xdr:rowOff>
    </xdr:to>
    <xdr:sp macro="" textlink="">
      <xdr:nvSpPr>
        <xdr:cNvPr id="2"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4"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5"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6"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7"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8"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9"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0"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1"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2"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3"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4"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5"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6"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7"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8"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19"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0"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1"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2"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3"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4"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5"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6"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7"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8"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29"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0"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1"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2"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3"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4"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5"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6"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228600</xdr:rowOff>
    </xdr:to>
    <xdr:sp macro="" textlink="">
      <xdr:nvSpPr>
        <xdr:cNvPr id="37"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38" name="Text Box 1"/>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39" name="Text Box 2"/>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0" name="Text Box 3"/>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1" name="Text Box 4"/>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2" name="Text Box 1"/>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3" name="Text Box 2"/>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4" name="Text Box 3"/>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5" name="Text Box 4"/>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6" name="Text Box 1"/>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7" name="Text Box 2"/>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8" name="Text Box 3"/>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9" name="Text Box 4"/>
        <xdr:cNvSpPr txBox="1">
          <a:spLocks noChangeArrowheads="1"/>
        </xdr:cNvSpPr>
      </xdr:nvSpPr>
      <xdr:spPr bwMode="auto">
        <a:xfrm>
          <a:off x="3657600" y="1000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0" name="Text Box 1"/>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1" name="Text Box 2"/>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2" name="Text Box 3"/>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3" name="Text Box 4"/>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4" name="Text Box 1"/>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5" name="Text Box 2"/>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6" name="Text Box 3"/>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7" name="Text Box 4"/>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8" name="Text Box 1"/>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9" name="Text Box 2"/>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60" name="Text Box 3"/>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61" name="Text Box 4"/>
        <xdr:cNvSpPr txBox="1">
          <a:spLocks noChangeArrowheads="1"/>
        </xdr:cNvSpPr>
      </xdr:nvSpPr>
      <xdr:spPr bwMode="auto">
        <a:xfrm>
          <a:off x="3657600" y="13744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62"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63"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64"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65"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66"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67"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68"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69"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0" name="Text Box 1"/>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1" name="Text Box 2"/>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2" name="Text Box 3"/>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3" name="Text Box 4"/>
        <xdr:cNvSpPr txBox="1">
          <a:spLocks noChangeArrowheads="1"/>
        </xdr:cNvSpPr>
      </xdr:nvSpPr>
      <xdr:spPr bwMode="auto">
        <a:xfrm>
          <a:off x="3657600" y="555021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4" name="Text Box 1"/>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5" name="Text Box 2"/>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6" name="Text Box 3"/>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7" name="Text Box 4"/>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8" name="Text Box 1"/>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9" name="Text Box 2"/>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0" name="Text Box 3"/>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1" name="Text Box 4"/>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2" name="Text Box 1"/>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3" name="Text Box 2"/>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4" name="Text Box 3"/>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5" name="Text Box 4"/>
        <xdr:cNvSpPr txBox="1">
          <a:spLocks noChangeArrowheads="1"/>
        </xdr:cNvSpPr>
      </xdr:nvSpPr>
      <xdr:spPr bwMode="auto">
        <a:xfrm>
          <a:off x="365760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86"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87"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88"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89"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0"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1"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2"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3"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4"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5"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6"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7"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8"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9"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0"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1"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2"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3"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4"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5"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6"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7"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8"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9"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10"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11"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12"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13"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114" name="Text Box 1"/>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115" name="Text Box 2"/>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116" name="Text Box 3"/>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117" name="Text Box 4"/>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18"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19"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20"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21"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122"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123"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124"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125"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126" name="Text Box 1"/>
        <xdr:cNvSpPr txBox="1">
          <a:spLocks noChangeArrowheads="1"/>
        </xdr:cNvSpPr>
      </xdr:nvSpPr>
      <xdr:spPr bwMode="auto">
        <a:xfrm>
          <a:off x="3657600" y="8953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127" name="Text Box 2"/>
        <xdr:cNvSpPr txBox="1">
          <a:spLocks noChangeArrowheads="1"/>
        </xdr:cNvSpPr>
      </xdr:nvSpPr>
      <xdr:spPr bwMode="auto">
        <a:xfrm>
          <a:off x="3657600" y="8953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128" name="Text Box 3"/>
        <xdr:cNvSpPr txBox="1">
          <a:spLocks noChangeArrowheads="1"/>
        </xdr:cNvSpPr>
      </xdr:nvSpPr>
      <xdr:spPr bwMode="auto">
        <a:xfrm>
          <a:off x="3657600" y="8953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129" name="Text Box 4"/>
        <xdr:cNvSpPr txBox="1">
          <a:spLocks noChangeArrowheads="1"/>
        </xdr:cNvSpPr>
      </xdr:nvSpPr>
      <xdr:spPr bwMode="auto">
        <a:xfrm>
          <a:off x="3657600" y="8953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0" name="Text Box 1"/>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1" name="Text Box 2"/>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2" name="Text Box 3"/>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3" name="Text Box 4"/>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5"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6"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7"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38"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39"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40"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41"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46"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47"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48"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49"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50" name="Text Box 1"/>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51" name="Text Box 2"/>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52" name="Text Box 3"/>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53" name="Text Box 4"/>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5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5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5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5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158" name="Text Box 1"/>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159" name="Text Box 2"/>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160" name="Text Box 3"/>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161" name="Text Box 4"/>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6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6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6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6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66"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67"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68"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69"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70" name="Text Box 1"/>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71" name="Text Box 2"/>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72" name="Text Box 3"/>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73" name="Text Box 4"/>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8"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9"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0"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1"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2"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3"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5"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0" name="Text Box 1"/>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1" name="Text Box 2"/>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2" name="Text Box 3"/>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3" name="Text Box 4"/>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4" name="Text Box 1"/>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5" name="Text Box 2"/>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6" name="Text Box 3"/>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7" name="Text Box 4"/>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8" name="Text Box 1"/>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9" name="Text Box 2"/>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200" name="Text Box 3"/>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201" name="Text Box 4"/>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02" name="Text Box 1"/>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03" name="Text Box 2"/>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04" name="Text Box 3"/>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05" name="Text Box 4"/>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06"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07"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08"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09"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10"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11"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12"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13"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14" name="Text Box 1"/>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15" name="Text Box 2"/>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16" name="Text Box 3"/>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17" name="Text Box 4"/>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18"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19"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0"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1"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22"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23"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24"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25"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26"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27"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28"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29"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0"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1"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2"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34"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35"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36"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37"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38"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39"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40"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41"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42" name="Text Box 1"/>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43" name="Text Box 2"/>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44" name="Text Box 3"/>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45" name="Text Box 4"/>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46"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47"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48"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49"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50"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51"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52"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53"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54" name="Text Box 1"/>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55" name="Text Box 2"/>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56" name="Text Box 3"/>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57" name="Text Box 4"/>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258"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259"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260"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261"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62"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63"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64"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65"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66" name="Text Box 1"/>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67" name="Text Box 2"/>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68" name="Text Box 3"/>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69" name="Text Box 4"/>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70"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71"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72"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73"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4" name="Text Box 1"/>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5" name="Text Box 2"/>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6" name="Text Box 3"/>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7" name="Text Box 4"/>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8" name="Text Box 1"/>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9" name="Text Box 2"/>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80" name="Text Box 3"/>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81" name="Text Box 4"/>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82"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83"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84"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85"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86"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87"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88"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89"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0"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1"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2"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3"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4"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5"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6"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7"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8"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9"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300"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301"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358"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359"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360"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361"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390"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391"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392"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393"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4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4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4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4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414" name="Text Box 1"/>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415" name="Text Box 2"/>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416" name="Text Box 3"/>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417" name="Text Box 4"/>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418" name="Text Box 1"/>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419" name="Text Box 2"/>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420" name="Text Box 3"/>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421" name="Text Box 4"/>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434" name="Text Box 1"/>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435" name="Text Box 2"/>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436" name="Text Box 3"/>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437" name="Text Box 4"/>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462"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463"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464"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465"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502"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503"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504"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505"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526" name="Text Box 1"/>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527" name="Text Box 2"/>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528" name="Text Box 3"/>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529" name="Text Box 4"/>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54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54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54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54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554"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555"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556"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557"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602"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603"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604"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605"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54"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55"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56"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57"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66"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67"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68"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69"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738"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739"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740"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741"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2" name="Text Box 1"/>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3" name="Text Box 2"/>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4" name="Text Box 3"/>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5" name="Text Box 4"/>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6" name="Text Box 1"/>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7" name="Text Box 2"/>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8" name="Text Box 3"/>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9" name="Text Box 4"/>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0"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1"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2"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3"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4"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5"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6"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7"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5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5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762" name="Text Box 1"/>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763" name="Text Box 2"/>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764" name="Text Box 3"/>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765" name="Text Box 4"/>
        <xdr:cNvSpPr txBox="1">
          <a:spLocks noChangeArrowheads="1"/>
        </xdr:cNvSpPr>
      </xdr:nvSpPr>
      <xdr:spPr bwMode="auto">
        <a:xfrm>
          <a:off x="3657600" y="2552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790"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791"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792"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793"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02"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03"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04"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05"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2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2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22" name="Text Box 1"/>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23" name="Text Box 2"/>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24" name="Text Box 3"/>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25" name="Text Box 4"/>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826" name="Text Box 1"/>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827" name="Text Box 2"/>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828" name="Text Box 3"/>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829" name="Text Box 4"/>
        <xdr:cNvSpPr txBox="1">
          <a:spLocks noChangeArrowheads="1"/>
        </xdr:cNvSpPr>
      </xdr:nvSpPr>
      <xdr:spPr bwMode="auto">
        <a:xfrm>
          <a:off x="3657600" y="7620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838"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839"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840"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841"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4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4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4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4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846" name="Text Box 1"/>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847" name="Text Box 2"/>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848" name="Text Box 3"/>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849" name="Text Box 4"/>
        <xdr:cNvSpPr txBox="1">
          <a:spLocks noChangeArrowheads="1"/>
        </xdr:cNvSpPr>
      </xdr:nvSpPr>
      <xdr:spPr bwMode="auto">
        <a:xfrm>
          <a:off x="3657600" y="5276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54"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55"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56"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57"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6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6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6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6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6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6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866" name="Text Box 1"/>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867" name="Text Box 2"/>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868" name="Text Box 3"/>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869" name="Text Box 4"/>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70" name="Text Box 1"/>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71" name="Text Box 2"/>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72" name="Text Box 3"/>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73" name="Text Box 4"/>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878"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879"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880"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881"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890"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891"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892"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893"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06" name="Text Box 1"/>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07" name="Text Box 2"/>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08" name="Text Box 3"/>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09" name="Text Box 4"/>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910" name="Text Box 1"/>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911" name="Text Box 2"/>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912" name="Text Box 3"/>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913" name="Text Box 4"/>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4" name="Text Box 1"/>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5" name="Text Box 2"/>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6" name="Text Box 3"/>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7" name="Text Box 4"/>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8" name="Text Box 1"/>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9" name="Text Box 2"/>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20" name="Text Box 3"/>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21" name="Text Box 4"/>
        <xdr:cNvSpPr txBox="1">
          <a:spLocks noChangeArrowheads="1"/>
        </xdr:cNvSpPr>
      </xdr:nvSpPr>
      <xdr:spPr bwMode="auto">
        <a:xfrm>
          <a:off x="3657600" y="3714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922" name="Text Box 1"/>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923" name="Text Box 2"/>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924" name="Text Box 3"/>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925" name="Text Box 4"/>
        <xdr:cNvSpPr txBox="1">
          <a:spLocks noChangeArrowheads="1"/>
        </xdr:cNvSpPr>
      </xdr:nvSpPr>
      <xdr:spPr bwMode="auto">
        <a:xfrm>
          <a:off x="3657600" y="3324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2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2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2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2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158" name="Text Box 1"/>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159" name="Text Box 2"/>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160" name="Text Box 3"/>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161" name="Text Box 4"/>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4"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5"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6"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7"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8"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9"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0"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1"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2"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3"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4"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5"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6"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7"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8"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9"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30" name="Text Box 1"/>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31" name="Text Box 2"/>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32" name="Text Box 3"/>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33" name="Text Box 4"/>
        <xdr:cNvSpPr txBox="1">
          <a:spLocks noChangeArrowheads="1"/>
        </xdr:cNvSpPr>
      </xdr:nvSpPr>
      <xdr:spPr bwMode="auto">
        <a:xfrm>
          <a:off x="3657600" y="4495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4" name="Text Box 1"/>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5" name="Text Box 2"/>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6" name="Text Box 3"/>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7" name="Text Box 4"/>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8" name="Text Box 1"/>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9" name="Text Box 2"/>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0" name="Text Box 3"/>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1" name="Text Box 4"/>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42"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43"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44"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45"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6" name="Text Box 1"/>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7" name="Text Box 2"/>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8" name="Text Box 3"/>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9" name="Text Box 4"/>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0"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1"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2"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3"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54" name="Text Box 1"/>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55" name="Text Box 2"/>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56" name="Text Box 3"/>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57" name="Text Box 4"/>
        <xdr:cNvSpPr txBox="1">
          <a:spLocks noChangeArrowheads="1"/>
        </xdr:cNvSpPr>
      </xdr:nvSpPr>
      <xdr:spPr bwMode="auto">
        <a:xfrm>
          <a:off x="3657600" y="29337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8"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9"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60"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61"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2"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3"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4"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5"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6"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7"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8"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9"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0"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1"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2"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3"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8"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9"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0"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1"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82"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83"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84"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85"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6"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7"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8"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9"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0" name="Text Box 1"/>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1" name="Text Box 2"/>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2" name="Text Box 3"/>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3" name="Text Box 4"/>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4" name="Text Box 1"/>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5" name="Text Box 2"/>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6" name="Text Box 3"/>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7" name="Text Box 4"/>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02"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03"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04"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05"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0"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1"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2"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3"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14"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15"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16"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17"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8"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9"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20"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21"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22"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23"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24"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25"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30" name="Text Box 1"/>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31" name="Text Box 2"/>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32" name="Text Box 3"/>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33" name="Text Box 4"/>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38"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39"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40"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41"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2"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3"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4"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5"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346"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347"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348"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349"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4" name="Text Box 1"/>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5" name="Text Box 2"/>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6" name="Text Box 3"/>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7" name="Text Box 4"/>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8" name="Text Box 1"/>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9" name="Text Box 2"/>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60" name="Text Box 3"/>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61" name="Text Box 4"/>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62" name="Text Box 1"/>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63" name="Text Box 2"/>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64" name="Text Box 3"/>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65" name="Text Box 4"/>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66"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67"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68"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69"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70" name="Text Box 1"/>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71" name="Text Box 2"/>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72" name="Text Box 3"/>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73" name="Text Box 4"/>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74" name="Text Box 1"/>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75" name="Text Box 2"/>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76" name="Text Box 3"/>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77" name="Text Box 4"/>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78"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79"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80"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81"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82"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83"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84"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85"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86" name="Text Box 1"/>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87" name="Text Box 2"/>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88" name="Text Box 3"/>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89" name="Text Box 4"/>
        <xdr:cNvSpPr txBox="1">
          <a:spLocks noChangeArrowheads="1"/>
        </xdr:cNvSpPr>
      </xdr:nvSpPr>
      <xdr:spPr bwMode="auto">
        <a:xfrm>
          <a:off x="3657600" y="8382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90" name="Text Box 1"/>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91" name="Text Box 2"/>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92" name="Text Box 3"/>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93" name="Text Box 4"/>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94"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95"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96"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97"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98"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99"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400"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401"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402" name="Text Box 1"/>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403" name="Text Box 2"/>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404" name="Text Box 3"/>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405" name="Text Box 4"/>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406" name="Text Box 1"/>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407" name="Text Box 2"/>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408" name="Text Box 3"/>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409" name="Text Box 4"/>
        <xdr:cNvSpPr txBox="1">
          <a:spLocks noChangeArrowheads="1"/>
        </xdr:cNvSpPr>
      </xdr:nvSpPr>
      <xdr:spPr bwMode="auto">
        <a:xfrm>
          <a:off x="3657600" y="8001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466"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467"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468"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469"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514"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515"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516"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517"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518"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519"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520"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521"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534" name="Text Box 1"/>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535" name="Text Box 2"/>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536" name="Text Box 3"/>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537" name="Text Box 4"/>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562"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563"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564"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565"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602"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603"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604"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605"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626" name="Text Box 1"/>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627" name="Text Box 2"/>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628" name="Text Box 3"/>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629" name="Text Box 4"/>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646"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647"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648"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649"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654"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655"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656"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657"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702" name="Text Box 1"/>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703" name="Text Box 2"/>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704" name="Text Box 3"/>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705" name="Text Box 4"/>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54"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55"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56"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57"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66"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67"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68"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69"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838" name="Text Box 1"/>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839" name="Text Box 2"/>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840" name="Text Box 3"/>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841" name="Text Box 4"/>
        <xdr:cNvSpPr txBox="1">
          <a:spLocks noChangeArrowheads="1"/>
        </xdr:cNvSpPr>
      </xdr:nvSpPr>
      <xdr:spPr bwMode="auto">
        <a:xfrm>
          <a:off x="3657600" y="7810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2"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3"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4"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5"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6"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7"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8"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9"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854" name="Text Box 1"/>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855" name="Text Box 2"/>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856" name="Text Box 3"/>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857" name="Text Box 4"/>
        <xdr:cNvSpPr txBox="1">
          <a:spLocks noChangeArrowheads="1"/>
        </xdr:cNvSpPr>
      </xdr:nvSpPr>
      <xdr:spPr bwMode="auto">
        <a:xfrm>
          <a:off x="3657600" y="566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82"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83"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84"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85"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10" name="Text Box 1"/>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11" name="Text Box 2"/>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12" name="Text Box 3"/>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13" name="Text Box 4"/>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922"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923"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924"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925"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930" name="Text Box 1"/>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931" name="Text Box 2"/>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932" name="Text Box 3"/>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933" name="Text Box 4"/>
        <xdr:cNvSpPr txBox="1">
          <a:spLocks noChangeArrowheads="1"/>
        </xdr:cNvSpPr>
      </xdr:nvSpPr>
      <xdr:spPr bwMode="auto">
        <a:xfrm>
          <a:off x="3657600" y="8191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4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4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42"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43"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44"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45"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46"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47"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48"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49"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50" name="Text Box 1"/>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51" name="Text Box 2"/>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52" name="Text Box 3"/>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53" name="Text Box 4"/>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5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5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5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5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58" name="Text Box 1"/>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59" name="Text Box 2"/>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60" name="Text Box 3"/>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61" name="Text Box 4"/>
        <xdr:cNvSpPr txBox="1">
          <a:spLocks noChangeArrowheads="1"/>
        </xdr:cNvSpPr>
      </xdr:nvSpPr>
      <xdr:spPr bwMode="auto">
        <a:xfrm>
          <a:off x="3657600" y="8572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62"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63"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64"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65"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6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6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6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6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970" name="Text Box 1"/>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971" name="Text Box 2"/>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972" name="Text Box 3"/>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973" name="Text Box 4"/>
        <xdr:cNvSpPr txBox="1">
          <a:spLocks noChangeArrowheads="1"/>
        </xdr:cNvSpPr>
      </xdr:nvSpPr>
      <xdr:spPr bwMode="auto">
        <a:xfrm>
          <a:off x="3657600" y="87630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86" name="Text Box 1"/>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87" name="Text Box 2"/>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88" name="Text Box 3"/>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89" name="Text Box 4"/>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90"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91"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92"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93"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4" name="Text Box 1"/>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5" name="Text Box 2"/>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6" name="Text Box 3"/>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7" name="Text Box 4"/>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8" name="Text Box 1"/>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9" name="Text Box 2"/>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2000" name="Text Box 3"/>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2001" name="Text Box 4"/>
        <xdr:cNvSpPr txBox="1">
          <a:spLocks noChangeArrowheads="1"/>
        </xdr:cNvSpPr>
      </xdr:nvSpPr>
      <xdr:spPr bwMode="auto">
        <a:xfrm>
          <a:off x="3657600" y="683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2002" name="Text Box 1"/>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2003" name="Text Box 2"/>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2004" name="Text Box 3"/>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2005" name="Text Box 4"/>
        <xdr:cNvSpPr txBox="1">
          <a:spLocks noChangeArrowheads="1"/>
        </xdr:cNvSpPr>
      </xdr:nvSpPr>
      <xdr:spPr bwMode="auto">
        <a:xfrm>
          <a:off x="3657600" y="6448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38"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39"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40"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41"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4"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5"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6"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7"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8"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9"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0"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1"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2"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3"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4"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5"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6"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7"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8"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9"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10" name="Text Box 1"/>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11" name="Text Box 2"/>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12" name="Text Box 3"/>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13" name="Text Box 4"/>
        <xdr:cNvSpPr txBox="1">
          <a:spLocks noChangeArrowheads="1"/>
        </xdr:cNvSpPr>
      </xdr:nvSpPr>
      <xdr:spPr bwMode="auto">
        <a:xfrm>
          <a:off x="3657600" y="7229475"/>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4"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5"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6"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7"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8"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9"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0"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1"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2"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3"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4"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5"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6" name="Text Box 1"/>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7" name="Text Box 2"/>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8" name="Text Box 3"/>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9" name="Text Box 4"/>
        <xdr:cNvSpPr txBox="1">
          <a:spLocks noChangeArrowheads="1"/>
        </xdr:cNvSpPr>
      </xdr:nvSpPr>
      <xdr:spPr bwMode="auto">
        <a:xfrm>
          <a:off x="3657600" y="6057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0"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1"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2"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3"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4"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5"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6"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7"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8" name="Text Box 1"/>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9" name="Text Box 2"/>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40" name="Text Box 3"/>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41" name="Text Box 4"/>
        <xdr:cNvSpPr txBox="1">
          <a:spLocks noChangeArrowheads="1"/>
        </xdr:cNvSpPr>
      </xdr:nvSpPr>
      <xdr:spPr bwMode="auto">
        <a:xfrm>
          <a:off x="3657600" y="91440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2" name="Text Box 1"/>
        <xdr:cNvSpPr txBox="1">
          <a:spLocks noChangeArrowheads="1"/>
        </xdr:cNvSpPr>
      </xdr:nvSpPr>
      <xdr:spPr bwMode="auto">
        <a:xfrm>
          <a:off x="3657600" y="4105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3" name="Text Box 2"/>
        <xdr:cNvSpPr txBox="1">
          <a:spLocks noChangeArrowheads="1"/>
        </xdr:cNvSpPr>
      </xdr:nvSpPr>
      <xdr:spPr bwMode="auto">
        <a:xfrm>
          <a:off x="3657600" y="4105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4" name="Text Box 3"/>
        <xdr:cNvSpPr txBox="1">
          <a:spLocks noChangeArrowheads="1"/>
        </xdr:cNvSpPr>
      </xdr:nvSpPr>
      <xdr:spPr bwMode="auto">
        <a:xfrm>
          <a:off x="3657600" y="4105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5" name="Text Box 4"/>
        <xdr:cNvSpPr txBox="1">
          <a:spLocks noChangeArrowheads="1"/>
        </xdr:cNvSpPr>
      </xdr:nvSpPr>
      <xdr:spPr bwMode="auto">
        <a:xfrm>
          <a:off x="3657600" y="4105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6" name="Text Box 1"/>
        <xdr:cNvSpPr txBox="1">
          <a:spLocks noChangeArrowheads="1"/>
        </xdr:cNvSpPr>
      </xdr:nvSpPr>
      <xdr:spPr bwMode="auto">
        <a:xfrm>
          <a:off x="3657600" y="4105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7" name="Text Box 2"/>
        <xdr:cNvSpPr txBox="1">
          <a:spLocks noChangeArrowheads="1"/>
        </xdr:cNvSpPr>
      </xdr:nvSpPr>
      <xdr:spPr bwMode="auto">
        <a:xfrm>
          <a:off x="3657600" y="4105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8" name="Text Box 3"/>
        <xdr:cNvSpPr txBox="1">
          <a:spLocks noChangeArrowheads="1"/>
        </xdr:cNvSpPr>
      </xdr:nvSpPr>
      <xdr:spPr bwMode="auto">
        <a:xfrm>
          <a:off x="3657600" y="4105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9" name="Text Box 4"/>
        <xdr:cNvSpPr txBox="1">
          <a:spLocks noChangeArrowheads="1"/>
        </xdr:cNvSpPr>
      </xdr:nvSpPr>
      <xdr:spPr bwMode="auto">
        <a:xfrm>
          <a:off x="3657600" y="41052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0" name="Text Box 1"/>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1" name="Text Box 2"/>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2" name="Text Box 3"/>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3" name="Text Box 4"/>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4" name="Text Box 1"/>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5" name="Text Box 2"/>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6" name="Text Box 3"/>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7" name="Text Box 4"/>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8" name="Text Box 1"/>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9" name="Text Box 2"/>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60" name="Text Box 3"/>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61" name="Text Box 4"/>
        <xdr:cNvSpPr txBox="1">
          <a:spLocks noChangeArrowheads="1"/>
        </xdr:cNvSpPr>
      </xdr:nvSpPr>
      <xdr:spPr bwMode="auto">
        <a:xfrm>
          <a:off x="3657600" y="122205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62" name="Text Box 1"/>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63" name="Text Box 2"/>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64" name="Text Box 3"/>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65" name="Text Box 4"/>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109</xdr:row>
      <xdr:rowOff>0</xdr:rowOff>
    </xdr:from>
    <xdr:to>
      <xdr:col>6</xdr:col>
      <xdr:colOff>76200</xdr:colOff>
      <xdr:row>109</xdr:row>
      <xdr:rowOff>200025</xdr:rowOff>
    </xdr:to>
    <xdr:sp macro="" textlink="">
      <xdr:nvSpPr>
        <xdr:cNvPr id="2366" name="Text Box 1"/>
        <xdr:cNvSpPr txBox="1">
          <a:spLocks noChangeArrowheads="1"/>
        </xdr:cNvSpPr>
      </xdr:nvSpPr>
      <xdr:spPr bwMode="auto">
        <a:xfrm>
          <a:off x="3657600" y="21097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109</xdr:row>
      <xdr:rowOff>0</xdr:rowOff>
    </xdr:from>
    <xdr:to>
      <xdr:col>6</xdr:col>
      <xdr:colOff>76200</xdr:colOff>
      <xdr:row>109</xdr:row>
      <xdr:rowOff>200025</xdr:rowOff>
    </xdr:to>
    <xdr:sp macro="" textlink="">
      <xdr:nvSpPr>
        <xdr:cNvPr id="2367" name="Text Box 2"/>
        <xdr:cNvSpPr txBox="1">
          <a:spLocks noChangeArrowheads="1"/>
        </xdr:cNvSpPr>
      </xdr:nvSpPr>
      <xdr:spPr bwMode="auto">
        <a:xfrm>
          <a:off x="3657600" y="21097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109</xdr:row>
      <xdr:rowOff>0</xdr:rowOff>
    </xdr:from>
    <xdr:to>
      <xdr:col>6</xdr:col>
      <xdr:colOff>76200</xdr:colOff>
      <xdr:row>109</xdr:row>
      <xdr:rowOff>200025</xdr:rowOff>
    </xdr:to>
    <xdr:sp macro="" textlink="">
      <xdr:nvSpPr>
        <xdr:cNvPr id="2368" name="Text Box 3"/>
        <xdr:cNvSpPr txBox="1">
          <a:spLocks noChangeArrowheads="1"/>
        </xdr:cNvSpPr>
      </xdr:nvSpPr>
      <xdr:spPr bwMode="auto">
        <a:xfrm>
          <a:off x="3657600" y="21097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109</xdr:row>
      <xdr:rowOff>0</xdr:rowOff>
    </xdr:from>
    <xdr:to>
      <xdr:col>6</xdr:col>
      <xdr:colOff>76200</xdr:colOff>
      <xdr:row>109</xdr:row>
      <xdr:rowOff>200025</xdr:rowOff>
    </xdr:to>
    <xdr:sp macro="" textlink="">
      <xdr:nvSpPr>
        <xdr:cNvPr id="2369" name="Text Box 4"/>
        <xdr:cNvSpPr txBox="1">
          <a:spLocks noChangeArrowheads="1"/>
        </xdr:cNvSpPr>
      </xdr:nvSpPr>
      <xdr:spPr bwMode="auto">
        <a:xfrm>
          <a:off x="3657600" y="21097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0" name="Text Box 1"/>
        <xdr:cNvSpPr txBox="1">
          <a:spLocks noChangeArrowheads="1"/>
        </xdr:cNvSpPr>
      </xdr:nvSpPr>
      <xdr:spPr bwMode="auto">
        <a:xfrm>
          <a:off x="3657600" y="18021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1" name="Text Box 2"/>
        <xdr:cNvSpPr txBox="1">
          <a:spLocks noChangeArrowheads="1"/>
        </xdr:cNvSpPr>
      </xdr:nvSpPr>
      <xdr:spPr bwMode="auto">
        <a:xfrm>
          <a:off x="3657600" y="18021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2" name="Text Box 3"/>
        <xdr:cNvSpPr txBox="1">
          <a:spLocks noChangeArrowheads="1"/>
        </xdr:cNvSpPr>
      </xdr:nvSpPr>
      <xdr:spPr bwMode="auto">
        <a:xfrm>
          <a:off x="3657600" y="18021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3" name="Text Box 4"/>
        <xdr:cNvSpPr txBox="1">
          <a:spLocks noChangeArrowheads="1"/>
        </xdr:cNvSpPr>
      </xdr:nvSpPr>
      <xdr:spPr bwMode="auto">
        <a:xfrm>
          <a:off x="3657600" y="18021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74" name="Text Box 1"/>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75" name="Text Box 2"/>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76" name="Text Box 3"/>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77" name="Text Box 4"/>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8" name="Text Box 1"/>
        <xdr:cNvSpPr txBox="1">
          <a:spLocks noChangeArrowheads="1"/>
        </xdr:cNvSpPr>
      </xdr:nvSpPr>
      <xdr:spPr bwMode="auto">
        <a:xfrm>
          <a:off x="3657600" y="18021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9" name="Text Box 2"/>
        <xdr:cNvSpPr txBox="1">
          <a:spLocks noChangeArrowheads="1"/>
        </xdr:cNvSpPr>
      </xdr:nvSpPr>
      <xdr:spPr bwMode="auto">
        <a:xfrm>
          <a:off x="3657600" y="18021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80" name="Text Box 3"/>
        <xdr:cNvSpPr txBox="1">
          <a:spLocks noChangeArrowheads="1"/>
        </xdr:cNvSpPr>
      </xdr:nvSpPr>
      <xdr:spPr bwMode="auto">
        <a:xfrm>
          <a:off x="3657600" y="18021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81" name="Text Box 4"/>
        <xdr:cNvSpPr txBox="1">
          <a:spLocks noChangeArrowheads="1"/>
        </xdr:cNvSpPr>
      </xdr:nvSpPr>
      <xdr:spPr bwMode="auto">
        <a:xfrm>
          <a:off x="3657600" y="18021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82" name="Text Box 1"/>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83" name="Text Box 2"/>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84" name="Text Box 3"/>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85" name="Text Box 4"/>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86" name="Text Box 1"/>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87" name="Text Box 2"/>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88" name="Text Box 3"/>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89" name="Text Box 4"/>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90" name="Text Box 1"/>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91" name="Text Box 2"/>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92" name="Text Box 3"/>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93" name="Text Box 4"/>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94" name="Text Box 1"/>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95" name="Text Box 2"/>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96" name="Text Box 3"/>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97" name="Text Box 4"/>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98" name="Text Box 1"/>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99" name="Text Box 2"/>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400" name="Text Box 3"/>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401" name="Text Box 4"/>
        <xdr:cNvSpPr txBox="1">
          <a:spLocks noChangeArrowheads="1"/>
        </xdr:cNvSpPr>
      </xdr:nvSpPr>
      <xdr:spPr bwMode="auto">
        <a:xfrm>
          <a:off x="3657600" y="2052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402" name="Text Box 1"/>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403" name="Text Box 2"/>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404" name="Text Box 3"/>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405" name="Text Box 4"/>
        <xdr:cNvSpPr txBox="1">
          <a:spLocks noChangeArrowheads="1"/>
        </xdr:cNvSpPr>
      </xdr:nvSpPr>
      <xdr:spPr bwMode="auto">
        <a:xfrm>
          <a:off x="3657600" y="20716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06" name="Text Box 1"/>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07" name="Text Box 2"/>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08" name="Text Box 3"/>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09" name="Text Box 4"/>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10" name="Text Box 1"/>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11" name="Text Box 2"/>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12" name="Text Box 3"/>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13" name="Text Box 4"/>
        <xdr:cNvSpPr txBox="1">
          <a:spLocks noChangeArrowheads="1"/>
        </xdr:cNvSpPr>
      </xdr:nvSpPr>
      <xdr:spPr bwMode="auto">
        <a:xfrm>
          <a:off x="3657600" y="20145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470" name="Text Box 1"/>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471" name="Text Box 2"/>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472" name="Text Box 3"/>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473" name="Text Box 4"/>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554" name="Text Box 1"/>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555" name="Text Box 2"/>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556" name="Text Box 3"/>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557" name="Text Box 4"/>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2802" name="Text Box 1"/>
        <xdr:cNvSpPr txBox="1">
          <a:spLocks noChangeArrowheads="1"/>
        </xdr:cNvSpPr>
      </xdr:nvSpPr>
      <xdr:spPr bwMode="auto">
        <a:xfrm>
          <a:off x="3657600" y="18592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2803" name="Text Box 2"/>
        <xdr:cNvSpPr txBox="1">
          <a:spLocks noChangeArrowheads="1"/>
        </xdr:cNvSpPr>
      </xdr:nvSpPr>
      <xdr:spPr bwMode="auto">
        <a:xfrm>
          <a:off x="3657600" y="18592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2804" name="Text Box 3"/>
        <xdr:cNvSpPr txBox="1">
          <a:spLocks noChangeArrowheads="1"/>
        </xdr:cNvSpPr>
      </xdr:nvSpPr>
      <xdr:spPr bwMode="auto">
        <a:xfrm>
          <a:off x="3657600" y="18592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2805" name="Text Box 4"/>
        <xdr:cNvSpPr txBox="1">
          <a:spLocks noChangeArrowheads="1"/>
        </xdr:cNvSpPr>
      </xdr:nvSpPr>
      <xdr:spPr bwMode="auto">
        <a:xfrm>
          <a:off x="3657600" y="18592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870" name="Text Box 1"/>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871" name="Text Box 2"/>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872" name="Text Box 3"/>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873" name="Text Box 4"/>
        <xdr:cNvSpPr txBox="1">
          <a:spLocks noChangeArrowheads="1"/>
        </xdr:cNvSpPr>
      </xdr:nvSpPr>
      <xdr:spPr bwMode="auto">
        <a:xfrm>
          <a:off x="3657600" y="193643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6"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7"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8"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9"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0"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1"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2"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3"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4"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5"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6"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7"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8"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9"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0"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1"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2" name="Text Box 1"/>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3" name="Text Box 2"/>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4" name="Text Box 3"/>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5" name="Text Box 4"/>
        <xdr:cNvSpPr txBox="1">
          <a:spLocks noChangeArrowheads="1"/>
        </xdr:cNvSpPr>
      </xdr:nvSpPr>
      <xdr:spPr bwMode="auto">
        <a:xfrm>
          <a:off x="3657600" y="18211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06" name="Text Box 1"/>
        <xdr:cNvSpPr txBox="1">
          <a:spLocks noChangeArrowheads="1"/>
        </xdr:cNvSpPr>
      </xdr:nvSpPr>
      <xdr:spPr bwMode="auto">
        <a:xfrm>
          <a:off x="3657600" y="1897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07" name="Text Box 2"/>
        <xdr:cNvSpPr txBox="1">
          <a:spLocks noChangeArrowheads="1"/>
        </xdr:cNvSpPr>
      </xdr:nvSpPr>
      <xdr:spPr bwMode="auto">
        <a:xfrm>
          <a:off x="3657600" y="1897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08" name="Text Box 3"/>
        <xdr:cNvSpPr txBox="1">
          <a:spLocks noChangeArrowheads="1"/>
        </xdr:cNvSpPr>
      </xdr:nvSpPr>
      <xdr:spPr bwMode="auto">
        <a:xfrm>
          <a:off x="3657600" y="1897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09" name="Text Box 4"/>
        <xdr:cNvSpPr txBox="1">
          <a:spLocks noChangeArrowheads="1"/>
        </xdr:cNvSpPr>
      </xdr:nvSpPr>
      <xdr:spPr bwMode="auto">
        <a:xfrm>
          <a:off x="3657600" y="1897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10" name="Text Box 1"/>
        <xdr:cNvSpPr txBox="1">
          <a:spLocks noChangeArrowheads="1"/>
        </xdr:cNvSpPr>
      </xdr:nvSpPr>
      <xdr:spPr bwMode="auto">
        <a:xfrm>
          <a:off x="3657600" y="1897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11" name="Text Box 2"/>
        <xdr:cNvSpPr txBox="1">
          <a:spLocks noChangeArrowheads="1"/>
        </xdr:cNvSpPr>
      </xdr:nvSpPr>
      <xdr:spPr bwMode="auto">
        <a:xfrm>
          <a:off x="3657600" y="1897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12" name="Text Box 3"/>
        <xdr:cNvSpPr txBox="1">
          <a:spLocks noChangeArrowheads="1"/>
        </xdr:cNvSpPr>
      </xdr:nvSpPr>
      <xdr:spPr bwMode="auto">
        <a:xfrm>
          <a:off x="3657600" y="1897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13" name="Text Box 4"/>
        <xdr:cNvSpPr txBox="1">
          <a:spLocks noChangeArrowheads="1"/>
        </xdr:cNvSpPr>
      </xdr:nvSpPr>
      <xdr:spPr bwMode="auto">
        <a:xfrm>
          <a:off x="3657600" y="189738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4" name="Text Box 1"/>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5" name="Text Box 2"/>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6" name="Text Box 3"/>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7" name="Text Box 4"/>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8" name="Text Box 1"/>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9" name="Text Box 2"/>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0" name="Text Box 3"/>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1" name="Text Box 4"/>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2" name="Text Box 1"/>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3" name="Text Box 2"/>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4" name="Text Box 3"/>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5" name="Text Box 4"/>
        <xdr:cNvSpPr txBox="1">
          <a:spLocks noChangeArrowheads="1"/>
        </xdr:cNvSpPr>
      </xdr:nvSpPr>
      <xdr:spPr bwMode="auto">
        <a:xfrm>
          <a:off x="3657600" y="251269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26"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27"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28"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29"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0"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1"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2"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3"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4" name="Text Box 1"/>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5" name="Text Box 2"/>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6" name="Text Box 3"/>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7" name="Text Box 4"/>
        <xdr:cNvSpPr txBox="1">
          <a:spLocks noChangeArrowheads="1"/>
        </xdr:cNvSpPr>
      </xdr:nvSpPr>
      <xdr:spPr bwMode="auto">
        <a:xfrm>
          <a:off x="3657600" y="2552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38" name="Text Box 1"/>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39" name="Text Box 2"/>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0" name="Text Box 3"/>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1" name="Text Box 4"/>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2" name="Text Box 1"/>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3" name="Text Box 2"/>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4" name="Text Box 3"/>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5" name="Text Box 4"/>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6" name="Text Box 1"/>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7" name="Text Box 2"/>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8" name="Text Box 3"/>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9" name="Text Box 4"/>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0" name="Text Box 1"/>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1" name="Text Box 2"/>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2" name="Text Box 3"/>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3" name="Text Box 4"/>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4" name="Text Box 1"/>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5" name="Text Box 2"/>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6" name="Text Box 3"/>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7" name="Text Box 4"/>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8" name="Text Box 1"/>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9" name="Text Box 2"/>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0" name="Text Box 3"/>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1" name="Text Box 4"/>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2" name="Text Box 1"/>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3" name="Text Box 2"/>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4" name="Text Box 3"/>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5" name="Text Box 4"/>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6" name="Text Box 1"/>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7" name="Text Box 2"/>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8" name="Text Box 3"/>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9" name="Text Box 4"/>
        <xdr:cNvSpPr txBox="1">
          <a:spLocks noChangeArrowheads="1"/>
        </xdr:cNvSpPr>
      </xdr:nvSpPr>
      <xdr:spPr bwMode="auto">
        <a:xfrm>
          <a:off x="3657600" y="33242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0" name="Text Box 1"/>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1" name="Text Box 2"/>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2" name="Text Box 3"/>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3" name="Text Box 4"/>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4" name="Text Box 1"/>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5" name="Text Box 2"/>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6" name="Text Box 3"/>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7" name="Text Box 4"/>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8" name="Text Box 1"/>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9" name="Text Box 2"/>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0" name="Text Box 3"/>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1" name="Text Box 4"/>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2" name="Text Box 1"/>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3" name="Text Box 2"/>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4" name="Text Box 3"/>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5" name="Text Box 4"/>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6" name="Text Box 1"/>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7" name="Text Box 2"/>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8" name="Text Box 3"/>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9" name="Text Box 4"/>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0" name="Text Box 1"/>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1" name="Text Box 2"/>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2" name="Text Box 3"/>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3" name="Text Box 4"/>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4" name="Text Box 1"/>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5" name="Text Box 2"/>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6" name="Text Box 3"/>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7" name="Text Box 4"/>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8" name="Text Box 1"/>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9" name="Text Box 2"/>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300" name="Text Box 3"/>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301" name="Text Box 4"/>
        <xdr:cNvSpPr txBox="1">
          <a:spLocks noChangeArrowheads="1"/>
        </xdr:cNvSpPr>
      </xdr:nvSpPr>
      <xdr:spPr bwMode="auto">
        <a:xfrm>
          <a:off x="3657600" y="3714750"/>
          <a:ext cx="76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6"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7"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8"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9"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0"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1"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2"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3"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4"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5"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6"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7"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8"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9"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0"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1"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2" name="Text Box 1"/>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3" name="Text Box 2"/>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4" name="Text Box 3"/>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5" name="Text Box 4"/>
        <xdr:cNvSpPr txBox="1">
          <a:spLocks noChangeArrowheads="1"/>
        </xdr:cNvSpPr>
      </xdr:nvSpPr>
      <xdr:spPr bwMode="auto">
        <a:xfrm>
          <a:off x="3657600" y="97155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26" name="Text Box 1"/>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27" name="Text Box 2"/>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28" name="Text Box 3"/>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29" name="Text Box 4"/>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0" name="Text Box 1"/>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1" name="Text Box 2"/>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2" name="Text Box 3"/>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3" name="Text Box 4"/>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4" name="Text Box 1"/>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5" name="Text Box 2"/>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6" name="Text Box 3"/>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7" name="Text Box 4"/>
        <xdr:cNvSpPr txBox="1">
          <a:spLocks noChangeArrowheads="1"/>
        </xdr:cNvSpPr>
      </xdr:nvSpPr>
      <xdr:spPr bwMode="auto">
        <a:xfrm>
          <a:off x="3657600" y="9334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2"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3"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4"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5"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6"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7"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8"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9"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0"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1"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2"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3"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4"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5"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6"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7"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8" name="Text Box 1"/>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9" name="Text Box 2"/>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60" name="Text Box 3"/>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61" name="Text Box 4"/>
        <xdr:cNvSpPr txBox="1">
          <a:spLocks noChangeArrowheads="1"/>
        </xdr:cNvSpPr>
      </xdr:nvSpPr>
      <xdr:spPr bwMode="auto">
        <a:xfrm>
          <a:off x="3657600" y="101060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2" name="Text Box 1"/>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3" name="Text Box 2"/>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4" name="Text Box 3"/>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5" name="Text Box 4"/>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6" name="Text Box 1"/>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7" name="Text Box 2"/>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8" name="Text Box 3"/>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9" name="Text Box 4"/>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70" name="Text Box 1"/>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71" name="Text Box 2"/>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72" name="Text Box 3"/>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73" name="Text Box 4"/>
        <xdr:cNvSpPr txBox="1">
          <a:spLocks noChangeArrowheads="1"/>
        </xdr:cNvSpPr>
      </xdr:nvSpPr>
      <xdr:spPr bwMode="auto">
        <a:xfrm>
          <a:off x="3657600" y="1317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4" name="Text Box 1"/>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5" name="Text Box 2"/>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6" name="Text Box 3"/>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7" name="Text Box 4"/>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8" name="Text Box 1"/>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9" name="Text Box 2"/>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0" name="Text Box 3"/>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1" name="Text Box 4"/>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2" name="Text Box 1"/>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3" name="Text Box 2"/>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4" name="Text Box 3"/>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5" name="Text Box 4"/>
        <xdr:cNvSpPr txBox="1">
          <a:spLocks noChangeArrowheads="1"/>
        </xdr:cNvSpPr>
      </xdr:nvSpPr>
      <xdr:spPr bwMode="auto">
        <a:xfrm>
          <a:off x="3657600" y="1433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4986"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4987"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4988"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4989"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49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49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49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49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4994"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4995"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4996"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4997"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4998"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4999"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00"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01"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002"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003"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004"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005"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10"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11"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12"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13"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14"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15"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16"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17"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22"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23"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24"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25"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2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2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2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2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30"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31"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32"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33"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34"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35"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36"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37"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3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3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4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5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6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7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8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94"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95"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96"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097"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9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09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2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3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4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5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6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7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7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7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7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7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7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7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7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178"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179"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180"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181"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8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8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8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8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8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8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8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8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19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2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3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4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5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6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7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8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29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2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3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4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5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6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7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8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39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2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2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2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2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426"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427"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428"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429"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3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4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5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6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7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8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494"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495"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496"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497"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9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49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2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3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4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5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6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7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8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59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2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3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4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5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6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7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8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69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2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3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4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5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6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7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8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79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0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0"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1"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2"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3"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4"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5"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6"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7"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8"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19"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0"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1"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2"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3"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4"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5"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6" name="Text Box 1"/>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7" name="Text Box 2"/>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8" name="Text Box 3"/>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390525</xdr:rowOff>
    </xdr:to>
    <xdr:sp macro="" textlink="">
      <xdr:nvSpPr>
        <xdr:cNvPr id="5829" name="Text Box 4"/>
        <xdr:cNvSpPr txBox="1">
          <a:spLocks noChangeArrowheads="1"/>
        </xdr:cNvSpPr>
      </xdr:nvSpPr>
      <xdr:spPr bwMode="auto">
        <a:xfrm>
          <a:off x="3657600" y="34080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830"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831"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832"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833"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834" name="Text Box 1"/>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835" name="Text Box 2"/>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836" name="Text Box 3"/>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5837" name="Text Box 4"/>
        <xdr:cNvSpPr txBox="1">
          <a:spLocks noChangeArrowheads="1"/>
        </xdr:cNvSpPr>
      </xdr:nvSpPr>
      <xdr:spPr bwMode="auto">
        <a:xfrm>
          <a:off x="3657600" y="3408045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38"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39"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40"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41"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42"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43"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44"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45"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46"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47"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48"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49"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54" name="Text Box 1"/>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55" name="Text Box 2"/>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56" name="Text Box 3"/>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57" name="Text Box 4"/>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58"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59"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60"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61"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66"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67"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68"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69"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70"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71"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72"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73"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74" name="Text Box 1"/>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75" name="Text Box 2"/>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76" name="Text Box 3"/>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77" name="Text Box 4"/>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78"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79"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80"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81"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82" name="Text Box 1"/>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83" name="Text Box 2"/>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84" name="Text Box 3"/>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885" name="Text Box 4"/>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86"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87"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88"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889"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9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9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9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89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894" name="Text Box 1"/>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895" name="Text Box 2"/>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896" name="Text Box 3"/>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897" name="Text Box 4"/>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98"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899"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00"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01"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902" name="Text Box 1"/>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903" name="Text Box 2"/>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904" name="Text Box 3"/>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905" name="Text Box 4"/>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10"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11"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12"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13"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14"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15"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16"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17"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918" name="Text Box 1"/>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919" name="Text Box 2"/>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920" name="Text Box 3"/>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190500</xdr:rowOff>
    </xdr:to>
    <xdr:sp macro="" textlink="">
      <xdr:nvSpPr>
        <xdr:cNvPr id="5921" name="Text Box 4"/>
        <xdr:cNvSpPr txBox="1">
          <a:spLocks noChangeArrowheads="1"/>
        </xdr:cNvSpPr>
      </xdr:nvSpPr>
      <xdr:spPr bwMode="auto">
        <a:xfrm>
          <a:off x="3657600" y="34080450"/>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22"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23"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24"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25"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30" name="Text Box 1"/>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31" name="Text Box 2"/>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32" name="Text Box 3"/>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33" name="Text Box 4"/>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38" name="Text Box 1"/>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39" name="Text Box 2"/>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40" name="Text Box 3"/>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41" name="Text Box 4"/>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42" name="Text Box 1"/>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43" name="Text Box 2"/>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44" name="Text Box 3"/>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176</xdr:row>
      <xdr:rowOff>142875</xdr:rowOff>
    </xdr:to>
    <xdr:sp macro="" textlink="">
      <xdr:nvSpPr>
        <xdr:cNvPr id="5945" name="Text Box 4"/>
        <xdr:cNvSpPr txBox="1">
          <a:spLocks noChangeArrowheads="1"/>
        </xdr:cNvSpPr>
      </xdr:nvSpPr>
      <xdr:spPr bwMode="auto">
        <a:xfrm>
          <a:off x="3657600" y="3408045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46" name="Text Box 1"/>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47" name="Text Box 2"/>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48" name="Text Box 3"/>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49" name="Text Box 4"/>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0" name="Text Box 1"/>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1" name="Text Box 2"/>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2" name="Text Box 3"/>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3" name="Text Box 4"/>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4" name="Text Box 1"/>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5" name="Text Box 2"/>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6" name="Text Box 3"/>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7" name="Text Box 4"/>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8" name="Text Box 1"/>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59" name="Text Box 2"/>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60" name="Text Box 3"/>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61" name="Text Box 4"/>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62" name="Text Box 1"/>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63" name="Text Box 2"/>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64" name="Text Box 3"/>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191</xdr:row>
      <xdr:rowOff>133350</xdr:rowOff>
    </xdr:to>
    <xdr:sp macro="" textlink="">
      <xdr:nvSpPr>
        <xdr:cNvPr id="5965" name="Text Box 4"/>
        <xdr:cNvSpPr txBox="1">
          <a:spLocks noChangeArrowheads="1"/>
        </xdr:cNvSpPr>
      </xdr:nvSpPr>
      <xdr:spPr bwMode="auto">
        <a:xfrm>
          <a:off x="3657600" y="3408045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6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6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6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6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978"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979"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980"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981"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990"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991"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992"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5993"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9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9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9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9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9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599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1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3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4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5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6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7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9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9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9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9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9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9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9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09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098"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099"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100"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101"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0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0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0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0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1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3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4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5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6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7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19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210"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211"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212"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213"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1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1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1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1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1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1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3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4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5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6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7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29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1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3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4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5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6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7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39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1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3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4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5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5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5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5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458"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459"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460"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461"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466"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467"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468"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469"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7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49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1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3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4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5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6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7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59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1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3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4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5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6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7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69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0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1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2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3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4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5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6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0"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1"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2"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3"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4"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5"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6"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7"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8"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79"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0"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1"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2"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3"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4"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5"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6" name="Text Box 1"/>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7" name="Text Box 2"/>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8" name="Text Box 3"/>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57150</xdr:rowOff>
    </xdr:to>
    <xdr:sp macro="" textlink="">
      <xdr:nvSpPr>
        <xdr:cNvPr id="6789" name="Text Box 4"/>
        <xdr:cNvSpPr txBox="1">
          <a:spLocks noChangeArrowheads="1"/>
        </xdr:cNvSpPr>
      </xdr:nvSpPr>
      <xdr:spPr bwMode="auto">
        <a:xfrm>
          <a:off x="3657600" y="34080450"/>
          <a:ext cx="76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0"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1"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2"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3"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4"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5"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6"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7"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8" name="Text Box 1"/>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799" name="Text Box 2"/>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800" name="Text Box 3"/>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194</xdr:row>
      <xdr:rowOff>66675</xdr:rowOff>
    </xdr:to>
    <xdr:sp macro="" textlink="">
      <xdr:nvSpPr>
        <xdr:cNvPr id="6801" name="Text Box 4"/>
        <xdr:cNvSpPr txBox="1">
          <a:spLocks noChangeArrowheads="1"/>
        </xdr:cNvSpPr>
      </xdr:nvSpPr>
      <xdr:spPr bwMode="auto">
        <a:xfrm>
          <a:off x="3657600" y="34080450"/>
          <a:ext cx="7620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02"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03"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04"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05"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06"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07"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08"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09"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10"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11"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12"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13"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14"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15"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16"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17"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18"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19"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20"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21"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26" name="Text Box 1"/>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27" name="Text Box 2"/>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28" name="Text Box 3"/>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29" name="Text Box 4"/>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30"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31"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32"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33"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38"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39"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40"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41"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42"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43"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44"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45"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46" name="Text Box 1"/>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47" name="Text Box 2"/>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48" name="Text Box 3"/>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49" name="Text Box 4"/>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50"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51"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52"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53"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54" name="Text Box 1"/>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55" name="Text Box 2"/>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56" name="Text Box 3"/>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57" name="Text Box 4"/>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58"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59"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60"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861"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6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6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6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6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866" name="Text Box 1"/>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867" name="Text Box 2"/>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868" name="Text Box 3"/>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869" name="Text Box 4"/>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70"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71"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72"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73"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74" name="Text Box 1"/>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75" name="Text Box 2"/>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76" name="Text Box 3"/>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77" name="Text Box 4"/>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82"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83"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84"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85"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86"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87"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88"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89"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90" name="Text Box 1"/>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91" name="Text Box 2"/>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92" name="Text Box 3"/>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114300</xdr:rowOff>
    </xdr:to>
    <xdr:sp macro="" textlink="">
      <xdr:nvSpPr>
        <xdr:cNvPr id="6893" name="Text Box 4"/>
        <xdr:cNvSpPr txBox="1">
          <a:spLocks noChangeArrowheads="1"/>
        </xdr:cNvSpPr>
      </xdr:nvSpPr>
      <xdr:spPr bwMode="auto">
        <a:xfrm>
          <a:off x="3657600" y="381285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94"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95"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96"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897"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8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02" name="Text Box 1"/>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03" name="Text Box 2"/>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04" name="Text Box 3"/>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05" name="Text Box 4"/>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10" name="Text Box 1"/>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11" name="Text Box 2"/>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12" name="Text Box 3"/>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13" name="Text Box 4"/>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914" name="Text Box 1"/>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915" name="Text Box 2"/>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916" name="Text Box 3"/>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66675</xdr:rowOff>
    </xdr:to>
    <xdr:sp macro="" textlink="">
      <xdr:nvSpPr>
        <xdr:cNvPr id="6917" name="Text Box 4"/>
        <xdr:cNvSpPr txBox="1">
          <a:spLocks noChangeArrowheads="1"/>
        </xdr:cNvSpPr>
      </xdr:nvSpPr>
      <xdr:spPr bwMode="auto">
        <a:xfrm>
          <a:off x="3657600" y="3812857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18" name="Text Box 1"/>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19" name="Text Box 2"/>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0" name="Text Box 3"/>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1" name="Text Box 4"/>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2" name="Text Box 1"/>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3" name="Text Box 2"/>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4" name="Text Box 3"/>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5" name="Text Box 4"/>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6" name="Text Box 1"/>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7" name="Text Box 2"/>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8" name="Text Box 3"/>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29" name="Text Box 4"/>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30" name="Text Box 1"/>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31" name="Text Box 2"/>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32" name="Text Box 3"/>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33" name="Text Box 4"/>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34" name="Text Box 1"/>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35" name="Text Box 2"/>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36" name="Text Box 3"/>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199</xdr:row>
      <xdr:rowOff>104775</xdr:rowOff>
    </xdr:to>
    <xdr:sp macro="" textlink="">
      <xdr:nvSpPr>
        <xdr:cNvPr id="6937" name="Text Box 4"/>
        <xdr:cNvSpPr txBox="1">
          <a:spLocks noChangeArrowheads="1"/>
        </xdr:cNvSpPr>
      </xdr:nvSpPr>
      <xdr:spPr bwMode="auto">
        <a:xfrm>
          <a:off x="3657600" y="38128575"/>
          <a:ext cx="762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3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3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950"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951"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952"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953"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962"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963"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964"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6965"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6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6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6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6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8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69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1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2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3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6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070"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071"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072"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073"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7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7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7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7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8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0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1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2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3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6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182"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183"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184"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185"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8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8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8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8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1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1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2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3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6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8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2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1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2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3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6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8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3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1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2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430"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431"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432"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433"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438"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439"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440"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441"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6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8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4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1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2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3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6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8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5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1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2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3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6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7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8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69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0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1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2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3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2"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3"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4"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5"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6"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7"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8"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49"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0"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1"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2"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3"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4"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5"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6"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7"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8" name="Text Box 1"/>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59" name="Text Box 2"/>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60" name="Text Box 3"/>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179</xdr:row>
      <xdr:rowOff>180975</xdr:rowOff>
    </xdr:to>
    <xdr:sp macro="" textlink="">
      <xdr:nvSpPr>
        <xdr:cNvPr id="7761" name="Text Box 4"/>
        <xdr:cNvSpPr txBox="1">
          <a:spLocks noChangeArrowheads="1"/>
        </xdr:cNvSpPr>
      </xdr:nvSpPr>
      <xdr:spPr bwMode="auto">
        <a:xfrm>
          <a:off x="3657600" y="38128575"/>
          <a:ext cx="76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62"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63"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64"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65"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66"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67"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68"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69"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70" name="Text Box 1"/>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71" name="Text Box 2"/>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72" name="Text Box 3"/>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201</xdr:row>
      <xdr:rowOff>76200</xdr:rowOff>
    </xdr:to>
    <xdr:sp macro="" textlink="">
      <xdr:nvSpPr>
        <xdr:cNvPr id="7773" name="Text Box 4"/>
        <xdr:cNvSpPr txBox="1">
          <a:spLocks noChangeArrowheads="1"/>
        </xdr:cNvSpPr>
      </xdr:nvSpPr>
      <xdr:spPr bwMode="auto">
        <a:xfrm>
          <a:off x="3657600" y="38128575"/>
          <a:ext cx="76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114300</xdr:rowOff>
    </xdr:to>
    <xdr:sp macro="" textlink="">
      <xdr:nvSpPr>
        <xdr:cNvPr id="7774" name="Text Box 1"/>
        <xdr:cNvSpPr txBox="1">
          <a:spLocks noChangeArrowheads="1"/>
        </xdr:cNvSpPr>
      </xdr:nvSpPr>
      <xdr:spPr bwMode="auto">
        <a:xfrm>
          <a:off x="3657600" y="53968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114300</xdr:rowOff>
    </xdr:to>
    <xdr:sp macro="" textlink="">
      <xdr:nvSpPr>
        <xdr:cNvPr id="7775" name="Text Box 2"/>
        <xdr:cNvSpPr txBox="1">
          <a:spLocks noChangeArrowheads="1"/>
        </xdr:cNvSpPr>
      </xdr:nvSpPr>
      <xdr:spPr bwMode="auto">
        <a:xfrm>
          <a:off x="3657600" y="53968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114300</xdr:rowOff>
    </xdr:to>
    <xdr:sp macro="" textlink="">
      <xdr:nvSpPr>
        <xdr:cNvPr id="7776" name="Text Box 3"/>
        <xdr:cNvSpPr txBox="1">
          <a:spLocks noChangeArrowheads="1"/>
        </xdr:cNvSpPr>
      </xdr:nvSpPr>
      <xdr:spPr bwMode="auto">
        <a:xfrm>
          <a:off x="3657600" y="53968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114300</xdr:rowOff>
    </xdr:to>
    <xdr:sp macro="" textlink="">
      <xdr:nvSpPr>
        <xdr:cNvPr id="7777" name="Text Box 4"/>
        <xdr:cNvSpPr txBox="1">
          <a:spLocks noChangeArrowheads="1"/>
        </xdr:cNvSpPr>
      </xdr:nvSpPr>
      <xdr:spPr bwMode="auto">
        <a:xfrm>
          <a:off x="3657600" y="53968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114300</xdr:rowOff>
    </xdr:to>
    <xdr:sp macro="" textlink="">
      <xdr:nvSpPr>
        <xdr:cNvPr id="7778" name="Text Box 1"/>
        <xdr:cNvSpPr txBox="1">
          <a:spLocks noChangeArrowheads="1"/>
        </xdr:cNvSpPr>
      </xdr:nvSpPr>
      <xdr:spPr bwMode="auto">
        <a:xfrm>
          <a:off x="3657600" y="53968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114300</xdr:rowOff>
    </xdr:to>
    <xdr:sp macro="" textlink="">
      <xdr:nvSpPr>
        <xdr:cNvPr id="7779" name="Text Box 2"/>
        <xdr:cNvSpPr txBox="1">
          <a:spLocks noChangeArrowheads="1"/>
        </xdr:cNvSpPr>
      </xdr:nvSpPr>
      <xdr:spPr bwMode="auto">
        <a:xfrm>
          <a:off x="3657600" y="53968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114300</xdr:rowOff>
    </xdr:to>
    <xdr:sp macro="" textlink="">
      <xdr:nvSpPr>
        <xdr:cNvPr id="7780" name="Text Box 3"/>
        <xdr:cNvSpPr txBox="1">
          <a:spLocks noChangeArrowheads="1"/>
        </xdr:cNvSpPr>
      </xdr:nvSpPr>
      <xdr:spPr bwMode="auto">
        <a:xfrm>
          <a:off x="3657600" y="53968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114300</xdr:rowOff>
    </xdr:to>
    <xdr:sp macro="" textlink="">
      <xdr:nvSpPr>
        <xdr:cNvPr id="7781" name="Text Box 4"/>
        <xdr:cNvSpPr txBox="1">
          <a:spLocks noChangeArrowheads="1"/>
        </xdr:cNvSpPr>
      </xdr:nvSpPr>
      <xdr:spPr bwMode="auto">
        <a:xfrm>
          <a:off x="3657600" y="53968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82"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83"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84"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85"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86"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87"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88"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89"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0"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1"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2"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3"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4"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5"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6"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7"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8"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799"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0"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1"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2"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3"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4"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5"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6"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7"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8"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09"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0"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1"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2"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3"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4"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5"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6"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7"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8" name="Text Box 1"/>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19" name="Text Box 2"/>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20" name="Text Box 3"/>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114300</xdr:rowOff>
    </xdr:to>
    <xdr:sp macro="" textlink="">
      <xdr:nvSpPr>
        <xdr:cNvPr id="7821" name="Text Box 4"/>
        <xdr:cNvSpPr txBox="1">
          <a:spLocks noChangeArrowheads="1"/>
        </xdr:cNvSpPr>
      </xdr:nvSpPr>
      <xdr:spPr bwMode="auto">
        <a:xfrm>
          <a:off x="3657600" y="541591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22" name="Text Box 1"/>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23" name="Text Box 2"/>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24" name="Text Box 3"/>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25" name="Text Box 4"/>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26" name="Text Box 1"/>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27" name="Text Box 2"/>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28" name="Text Box 3"/>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29" name="Text Box 4"/>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0"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1"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2"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3"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4"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5"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6"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7"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8"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39"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0"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1"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2"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3"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4"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5"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6"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7"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8"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49"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50"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51"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52"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53"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54" name="Text Box 1"/>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55" name="Text Box 2"/>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56" name="Text Box 3"/>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57" name="Text Box 4"/>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58" name="Text Box 1"/>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59" name="Text Box 2"/>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60" name="Text Box 3"/>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61" name="Text Box 4"/>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62"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63"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64"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65"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66"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67"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68"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69"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70"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71"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72"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73"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74" name="Text Box 1"/>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75" name="Text Box 2"/>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76" name="Text Box 3"/>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28575</xdr:rowOff>
    </xdr:to>
    <xdr:sp macro="" textlink="">
      <xdr:nvSpPr>
        <xdr:cNvPr id="7877" name="Text Box 4"/>
        <xdr:cNvSpPr txBox="1">
          <a:spLocks noChangeArrowheads="1"/>
        </xdr:cNvSpPr>
      </xdr:nvSpPr>
      <xdr:spPr bwMode="auto">
        <a:xfrm>
          <a:off x="3657600" y="55111650"/>
          <a:ext cx="762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78" name="Text Box 1"/>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79" name="Text Box 2"/>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80" name="Text Box 3"/>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314325</xdr:rowOff>
    </xdr:to>
    <xdr:sp macro="" textlink="">
      <xdr:nvSpPr>
        <xdr:cNvPr id="7881" name="Text Box 4"/>
        <xdr:cNvSpPr txBox="1">
          <a:spLocks noChangeArrowheads="1"/>
        </xdr:cNvSpPr>
      </xdr:nvSpPr>
      <xdr:spPr bwMode="auto">
        <a:xfrm>
          <a:off x="3657600" y="549211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82" name="Text Box 1"/>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83" name="Text Box 2"/>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84" name="Text Box 3"/>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85" name="Text Box 4"/>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86" name="Text Box 1"/>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87" name="Text Box 2"/>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88" name="Text Box 3"/>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89" name="Text Box 4"/>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90" name="Text Box 1"/>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91" name="Text Box 2"/>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92" name="Text Box 3"/>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171</xdr:row>
      <xdr:rowOff>247650</xdr:rowOff>
    </xdr:to>
    <xdr:sp macro="" textlink="">
      <xdr:nvSpPr>
        <xdr:cNvPr id="7893" name="Text Box 4"/>
        <xdr:cNvSpPr txBox="1">
          <a:spLocks noChangeArrowheads="1"/>
        </xdr:cNvSpPr>
      </xdr:nvSpPr>
      <xdr:spPr bwMode="auto">
        <a:xfrm>
          <a:off x="3905250" y="26193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894"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895"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896"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897"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898"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899"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00"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01"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02"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03"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04"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05"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06"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07"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08"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09"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0"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1"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2"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3"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4"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5"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6"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7"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8"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19"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0"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1"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2"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3"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4"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5"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6"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7"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8"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29"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0"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1"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2"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3"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4"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5"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6"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7"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8"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39"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0"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1"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2"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3"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4"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5"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6"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7"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8"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49"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50"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51"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52"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172</xdr:row>
      <xdr:rowOff>19050</xdr:rowOff>
    </xdr:to>
    <xdr:sp macro="" textlink="">
      <xdr:nvSpPr>
        <xdr:cNvPr id="7953"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54"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55"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56"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57"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58"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59"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60"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61"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66"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67"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68"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69"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70"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71"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72"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73"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78"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79"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80"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81"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82"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83"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84"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85"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86"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87"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88"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89"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79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94"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95"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96"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7997"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98"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7999"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8000"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8001"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06"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07"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08"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09"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10"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11"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12"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13"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8014"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8015"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8016"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190500</xdr:rowOff>
    </xdr:to>
    <xdr:sp macro="" textlink="">
      <xdr:nvSpPr>
        <xdr:cNvPr id="8017"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18"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19"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20"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21"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30"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31"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32"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177</xdr:row>
      <xdr:rowOff>142875</xdr:rowOff>
    </xdr:to>
    <xdr:sp macro="" textlink="">
      <xdr:nvSpPr>
        <xdr:cNvPr id="8033"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0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1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2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3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4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5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6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7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178</xdr:row>
      <xdr:rowOff>57150</xdr:rowOff>
    </xdr:to>
    <xdr:sp macro="" textlink="">
      <xdr:nvSpPr>
        <xdr:cNvPr id="88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290</xdr:row>
      <xdr:rowOff>0</xdr:rowOff>
    </xdr:from>
    <xdr:to>
      <xdr:col>6</xdr:col>
      <xdr:colOff>76200</xdr:colOff>
      <xdr:row>291</xdr:row>
      <xdr:rowOff>228600</xdr:rowOff>
    </xdr:to>
    <xdr:sp macro="" textlink="">
      <xdr:nvSpPr>
        <xdr:cNvPr id="2"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4"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5"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6"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7"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8"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9"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0"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1"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2"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3"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4"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5"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6"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7"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8"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19"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0"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1"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2"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3"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4"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5"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6"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7"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8"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29"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0"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1"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2"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3"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4" name="Text Box 1"/>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5" name="Text Box 2"/>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6" name="Text Box 3"/>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228600</xdr:rowOff>
    </xdr:to>
    <xdr:sp macro="" textlink="">
      <xdr:nvSpPr>
        <xdr:cNvPr id="37" name="Text Box 4"/>
        <xdr:cNvSpPr txBox="1">
          <a:spLocks noChangeArrowheads="1"/>
        </xdr:cNvSpPr>
      </xdr:nvSpPr>
      <xdr:spPr bwMode="auto">
        <a:xfrm>
          <a:off x="3905250" y="16281082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38" name="Text Box 1"/>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39" name="Text Box 2"/>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0" name="Text Box 3"/>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1" name="Text Box 4"/>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2" name="Text Box 1"/>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3" name="Text Box 2"/>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4" name="Text Box 3"/>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5" name="Text Box 4"/>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6" name="Text Box 1"/>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7" name="Text Box 2"/>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8" name="Text Box 3"/>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49" name="Text Box 4"/>
        <xdr:cNvSpPr txBox="1">
          <a:spLocks noChangeArrowheads="1"/>
        </xdr:cNvSpPr>
      </xdr:nvSpPr>
      <xdr:spPr bwMode="auto">
        <a:xfrm>
          <a:off x="3905250" y="32194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0" name="Text Box 1"/>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1" name="Text Box 2"/>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2" name="Text Box 3"/>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3" name="Text Box 4"/>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4" name="Text Box 1"/>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5" name="Text Box 2"/>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6" name="Text Box 3"/>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7" name="Text Box 4"/>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8" name="Text Box 1"/>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59" name="Text Box 2"/>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60" name="Text Box 3"/>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71</xdr:row>
      <xdr:rowOff>0</xdr:rowOff>
    </xdr:from>
    <xdr:to>
      <xdr:col>6</xdr:col>
      <xdr:colOff>76200</xdr:colOff>
      <xdr:row>71</xdr:row>
      <xdr:rowOff>400050</xdr:rowOff>
    </xdr:to>
    <xdr:sp macro="" textlink="">
      <xdr:nvSpPr>
        <xdr:cNvPr id="61" name="Text Box 4"/>
        <xdr:cNvSpPr txBox="1">
          <a:spLocks noChangeArrowheads="1"/>
        </xdr:cNvSpPr>
      </xdr:nvSpPr>
      <xdr:spPr bwMode="auto">
        <a:xfrm>
          <a:off x="3905250" y="458057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62" name="Text Box 1"/>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63" name="Text Box 2"/>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64" name="Text Box 3"/>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65" name="Text Box 4"/>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66" name="Text Box 1"/>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67" name="Text Box 2"/>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68" name="Text Box 3"/>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69" name="Text Box 4"/>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70" name="Text Box 1"/>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71" name="Text Box 2"/>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72" name="Text Box 3"/>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290</xdr:row>
      <xdr:rowOff>0</xdr:rowOff>
    </xdr:from>
    <xdr:to>
      <xdr:col>6</xdr:col>
      <xdr:colOff>76200</xdr:colOff>
      <xdr:row>291</xdr:row>
      <xdr:rowOff>314325</xdr:rowOff>
    </xdr:to>
    <xdr:sp macro="" textlink="">
      <xdr:nvSpPr>
        <xdr:cNvPr id="73" name="Text Box 4"/>
        <xdr:cNvSpPr txBox="1">
          <a:spLocks noChangeArrowheads="1"/>
        </xdr:cNvSpPr>
      </xdr:nvSpPr>
      <xdr:spPr bwMode="auto">
        <a:xfrm>
          <a:off x="3905250" y="162810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4" name="Text Box 1"/>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5" name="Text Box 2"/>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6" name="Text Box 3"/>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7" name="Text Box 4"/>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8" name="Text Box 1"/>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79" name="Text Box 2"/>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0" name="Text Box 3"/>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1" name="Text Box 4"/>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2" name="Text Box 1"/>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3" name="Text Box 2"/>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4" name="Text Box 3"/>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76200</xdr:colOff>
      <xdr:row>6</xdr:row>
      <xdr:rowOff>19050</xdr:rowOff>
    </xdr:to>
    <xdr:sp macro="" textlink="">
      <xdr:nvSpPr>
        <xdr:cNvPr id="85" name="Text Box 4"/>
        <xdr:cNvSpPr txBox="1">
          <a:spLocks noChangeArrowheads="1"/>
        </xdr:cNvSpPr>
      </xdr:nvSpPr>
      <xdr:spPr bwMode="auto">
        <a:xfrm>
          <a:off x="3905250" y="321945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86"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87"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88"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89"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0"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1"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2"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3"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4"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5"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6"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7"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8"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99"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0"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1"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2"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3"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4"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5"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6"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7"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8"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109"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10"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11"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12"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13"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114" name="Text Box 1"/>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115" name="Text Box 2"/>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116" name="Text Box 3"/>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117" name="Text Box 4"/>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18"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19"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20"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21"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122"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123"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124"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125"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126" name="Text Box 1"/>
        <xdr:cNvSpPr txBox="1">
          <a:spLocks noChangeArrowheads="1"/>
        </xdr:cNvSpPr>
      </xdr:nvSpPr>
      <xdr:spPr bwMode="auto">
        <a:xfrm>
          <a:off x="3905250" y="31365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127" name="Text Box 2"/>
        <xdr:cNvSpPr txBox="1">
          <a:spLocks noChangeArrowheads="1"/>
        </xdr:cNvSpPr>
      </xdr:nvSpPr>
      <xdr:spPr bwMode="auto">
        <a:xfrm>
          <a:off x="3905250" y="31365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128" name="Text Box 3"/>
        <xdr:cNvSpPr txBox="1">
          <a:spLocks noChangeArrowheads="1"/>
        </xdr:cNvSpPr>
      </xdr:nvSpPr>
      <xdr:spPr bwMode="auto">
        <a:xfrm>
          <a:off x="3905250" y="31365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46</xdr:row>
      <xdr:rowOff>0</xdr:rowOff>
    </xdr:from>
    <xdr:to>
      <xdr:col>6</xdr:col>
      <xdr:colOff>76200</xdr:colOff>
      <xdr:row>47</xdr:row>
      <xdr:rowOff>114300</xdr:rowOff>
    </xdr:to>
    <xdr:sp macro="" textlink="">
      <xdr:nvSpPr>
        <xdr:cNvPr id="129" name="Text Box 4"/>
        <xdr:cNvSpPr txBox="1">
          <a:spLocks noChangeArrowheads="1"/>
        </xdr:cNvSpPr>
      </xdr:nvSpPr>
      <xdr:spPr bwMode="auto">
        <a:xfrm>
          <a:off x="3905250" y="313658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0" name="Text Box 1"/>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1" name="Text Box 2"/>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2" name="Text Box 3"/>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3" name="Text Box 4"/>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5"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6"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7"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38"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39"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40"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41"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46"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47"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48"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49"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50" name="Text Box 1"/>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51" name="Text Box 2"/>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52" name="Text Box 3"/>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53" name="Text Box 4"/>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5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5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5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5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158" name="Text Box 1"/>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159" name="Text Box 2"/>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160" name="Text Box 3"/>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161" name="Text Box 4"/>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6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6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6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6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66"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67"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68"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69"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70" name="Text Box 1"/>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71" name="Text Box 2"/>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72" name="Text Box 3"/>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73" name="Text Box 4"/>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8"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9"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0"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1"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2"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3"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5"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0" name="Text Box 1"/>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1" name="Text Box 2"/>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2" name="Text Box 3"/>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3" name="Text Box 4"/>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4" name="Text Box 1"/>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5" name="Text Box 2"/>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6" name="Text Box 3"/>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7" name="Text Box 4"/>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8" name="Text Box 1"/>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199" name="Text Box 2"/>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200" name="Text Box 3"/>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201" name="Text Box 4"/>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02" name="Text Box 1"/>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03" name="Text Box 2"/>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04" name="Text Box 3"/>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05" name="Text Box 4"/>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06"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07"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08"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09"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10"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11"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12"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13"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14" name="Text Box 1"/>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15" name="Text Box 2"/>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16" name="Text Box 3"/>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17" name="Text Box 4"/>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18"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19"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0"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1"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22"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23"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24"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25"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26"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27"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28"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29"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0"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1"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2"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34"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35"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36"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237"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38"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39"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40"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41"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42" name="Text Box 1"/>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43" name="Text Box 2"/>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44" name="Text Box 3"/>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245" name="Text Box 4"/>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46"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47"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48"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49"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50"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51"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52"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53"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54" name="Text Box 1"/>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55" name="Text Box 2"/>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56" name="Text Box 3"/>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57" name="Text Box 4"/>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258"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259"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260"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261"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62"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63"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64"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65"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66" name="Text Box 1"/>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67" name="Text Box 2"/>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68" name="Text Box 3"/>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269" name="Text Box 4"/>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70"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71"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72"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73"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4" name="Text Box 1"/>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5" name="Text Box 2"/>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6" name="Text Box 3"/>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7" name="Text Box 4"/>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8" name="Text Box 1"/>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79" name="Text Box 2"/>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80" name="Text Box 3"/>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281" name="Text Box 4"/>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82"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83"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84"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285"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86"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87"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88"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289"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0"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1"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2"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3"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4"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5"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6"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7"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8"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299"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300"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301"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1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2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3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4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5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358"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359"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360"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361"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6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7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390"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391"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392"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393"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3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4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4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4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4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414" name="Text Box 1"/>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415" name="Text Box 2"/>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416" name="Text Box 3"/>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417" name="Text Box 4"/>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418" name="Text Box 1"/>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419" name="Text Box 2"/>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420" name="Text Box 3"/>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421" name="Text Box 4"/>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2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434" name="Text Box 1"/>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435" name="Text Box 2"/>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436" name="Text Box 3"/>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437" name="Text Box 4"/>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3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4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5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462"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463"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464"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465"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6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7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4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502"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503"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504"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505"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1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2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526" name="Text Box 1"/>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527" name="Text Box 2"/>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528" name="Text Box 3"/>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529" name="Text Box 4"/>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3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4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54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54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54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54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554"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555"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556"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557"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5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6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7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5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602"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603"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604"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605"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1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2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3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4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54"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55"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56"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57"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5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6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66"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67"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68"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669"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7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6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1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2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3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738"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739"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740"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741"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2" name="Text Box 1"/>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3" name="Text Box 2"/>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4" name="Text Box 3"/>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5" name="Text Box 4"/>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6" name="Text Box 1"/>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7" name="Text Box 2"/>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8" name="Text Box 3"/>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749" name="Text Box 4"/>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0"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1"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2"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3"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4"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5"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6"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757"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5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5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762" name="Text Box 1"/>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763" name="Text Box 2"/>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764" name="Text Box 3"/>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14</xdr:row>
      <xdr:rowOff>114300</xdr:rowOff>
    </xdr:to>
    <xdr:sp macro="" textlink="">
      <xdr:nvSpPr>
        <xdr:cNvPr id="765" name="Text Box 4"/>
        <xdr:cNvSpPr txBox="1">
          <a:spLocks noChangeArrowheads="1"/>
        </xdr:cNvSpPr>
      </xdr:nvSpPr>
      <xdr:spPr bwMode="auto">
        <a:xfrm>
          <a:off x="3905250" y="8353425"/>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6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7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790"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791"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792"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793"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7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02"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03"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04"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05"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1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2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2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22" name="Text Box 1"/>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23" name="Text Box 2"/>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24" name="Text Box 3"/>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25" name="Text Box 4"/>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826" name="Text Box 1"/>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827" name="Text Box 2"/>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828" name="Text Box 3"/>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6</xdr:col>
      <xdr:colOff>76200</xdr:colOff>
      <xdr:row>40</xdr:row>
      <xdr:rowOff>114300</xdr:rowOff>
    </xdr:to>
    <xdr:sp macro="" textlink="">
      <xdr:nvSpPr>
        <xdr:cNvPr id="829" name="Text Box 4"/>
        <xdr:cNvSpPr txBox="1">
          <a:spLocks noChangeArrowheads="1"/>
        </xdr:cNvSpPr>
      </xdr:nvSpPr>
      <xdr:spPr bwMode="auto">
        <a:xfrm>
          <a:off x="3905250" y="285654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3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838"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839"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840"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841"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4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4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4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4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846" name="Text Box 1"/>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847" name="Text Box 2"/>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848" name="Text Box 3"/>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28</xdr:row>
      <xdr:rowOff>0</xdr:rowOff>
    </xdr:to>
    <xdr:sp macro="" textlink="">
      <xdr:nvSpPr>
        <xdr:cNvPr id="849" name="Text Box 4"/>
        <xdr:cNvSpPr txBox="1">
          <a:spLocks noChangeArrowheads="1"/>
        </xdr:cNvSpPr>
      </xdr:nvSpPr>
      <xdr:spPr bwMode="auto">
        <a:xfrm>
          <a:off x="3905250" y="19392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54"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55"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56"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857"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5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6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6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6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6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6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6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866" name="Text Box 1"/>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867" name="Text Box 2"/>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868" name="Text Box 3"/>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869" name="Text Box 4"/>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70" name="Text Box 1"/>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71" name="Text Box 2"/>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72" name="Text Box 3"/>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873" name="Text Box 4"/>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878"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879"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880"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881"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8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890"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891"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892"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893"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8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0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06" name="Text Box 1"/>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07" name="Text Box 2"/>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08" name="Text Box 3"/>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09" name="Text Box 4"/>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910" name="Text Box 1"/>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911" name="Text Box 2"/>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912" name="Text Box 3"/>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913" name="Text Box 4"/>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4" name="Text Box 1"/>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5" name="Text Box 2"/>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6" name="Text Box 3"/>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7" name="Text Box 4"/>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8" name="Text Box 1"/>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19" name="Text Box 2"/>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20" name="Text Box 3"/>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19</xdr:row>
      <xdr:rowOff>314325</xdr:rowOff>
    </xdr:to>
    <xdr:sp macro="" textlink="">
      <xdr:nvSpPr>
        <xdr:cNvPr id="921" name="Text Box 4"/>
        <xdr:cNvSpPr txBox="1">
          <a:spLocks noChangeArrowheads="1"/>
        </xdr:cNvSpPr>
      </xdr:nvSpPr>
      <xdr:spPr bwMode="auto">
        <a:xfrm>
          <a:off x="3905250" y="136779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922" name="Text Box 1"/>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923" name="Text Box 2"/>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924" name="Text Box 3"/>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925" name="Text Box 4"/>
        <xdr:cNvSpPr txBox="1">
          <a:spLocks noChangeArrowheads="1"/>
        </xdr:cNvSpPr>
      </xdr:nvSpPr>
      <xdr:spPr bwMode="auto">
        <a:xfrm>
          <a:off x="3905250" y="120491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2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2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2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2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3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4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5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6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7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9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1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2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3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4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5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6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7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0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1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2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3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4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5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158" name="Text Box 1"/>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159" name="Text Box 2"/>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160" name="Text Box 3"/>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161" name="Text Box 4"/>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6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7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8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19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0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4"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5"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6"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7"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8"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19"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0"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1"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2"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3"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4"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5"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6"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7"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8"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29"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30" name="Text Box 1"/>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31" name="Text Box 2"/>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32" name="Text Box 3"/>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23</xdr:row>
      <xdr:rowOff>0</xdr:rowOff>
    </xdr:from>
    <xdr:to>
      <xdr:col>6</xdr:col>
      <xdr:colOff>76200</xdr:colOff>
      <xdr:row>23</xdr:row>
      <xdr:rowOff>285750</xdr:rowOff>
    </xdr:to>
    <xdr:sp macro="" textlink="">
      <xdr:nvSpPr>
        <xdr:cNvPr id="1233" name="Text Box 4"/>
        <xdr:cNvSpPr txBox="1">
          <a:spLocks noChangeArrowheads="1"/>
        </xdr:cNvSpPr>
      </xdr:nvSpPr>
      <xdr:spPr bwMode="auto">
        <a:xfrm>
          <a:off x="3905250" y="16535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4" name="Text Box 1"/>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5" name="Text Box 2"/>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6" name="Text Box 3"/>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7" name="Text Box 4"/>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8" name="Text Box 1"/>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39" name="Text Box 2"/>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0" name="Text Box 3"/>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1" name="Text Box 4"/>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42" name="Text Box 1"/>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43" name="Text Box 2"/>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44" name="Text Box 3"/>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45" name="Text Box 4"/>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6" name="Text Box 1"/>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7" name="Text Box 2"/>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8" name="Text Box 3"/>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49" name="Text Box 4"/>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0" name="Text Box 1"/>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1" name="Text Box 2"/>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2" name="Text Box 3"/>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3" name="Text Box 4"/>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54" name="Text Box 1"/>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55" name="Text Box 2"/>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56" name="Text Box 3"/>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76200</xdr:colOff>
      <xdr:row>16</xdr:row>
      <xdr:rowOff>114300</xdr:rowOff>
    </xdr:to>
    <xdr:sp macro="" textlink="">
      <xdr:nvSpPr>
        <xdr:cNvPr id="1257" name="Text Box 4"/>
        <xdr:cNvSpPr txBox="1">
          <a:spLocks noChangeArrowheads="1"/>
        </xdr:cNvSpPr>
      </xdr:nvSpPr>
      <xdr:spPr bwMode="auto">
        <a:xfrm>
          <a:off x="3905250" y="9820275"/>
          <a:ext cx="762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8" name="Text Box 1"/>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59" name="Text Box 2"/>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60" name="Text Box 3"/>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314325</xdr:rowOff>
    </xdr:to>
    <xdr:sp macro="" textlink="">
      <xdr:nvSpPr>
        <xdr:cNvPr id="1261" name="Text Box 4"/>
        <xdr:cNvSpPr txBox="1">
          <a:spLocks noChangeArrowheads="1"/>
        </xdr:cNvSpPr>
      </xdr:nvSpPr>
      <xdr:spPr bwMode="auto">
        <a:xfrm>
          <a:off x="3905250" y="835342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2"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3"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4"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5"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6"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7"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8"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69"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0"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1"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2"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3"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8"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79"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0"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1"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82"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83"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84"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285"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6"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7"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8"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289"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0" name="Text Box 1"/>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1" name="Text Box 2"/>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2" name="Text Box 3"/>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3" name="Text Box 4"/>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4" name="Text Box 1"/>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5" name="Text Box 2"/>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6" name="Text Box 3"/>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297" name="Text Box 4"/>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2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02"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03"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04"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05"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0"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1"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2"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3"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14"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15"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16"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17"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8"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19"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20"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21"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22"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23"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24"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25"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30" name="Text Box 1"/>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31" name="Text Box 2"/>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32" name="Text Box 3"/>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33" name="Text Box 4"/>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38"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39"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40"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41"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2"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3"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4"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345"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346"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347"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348"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349"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3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4" name="Text Box 1"/>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5" name="Text Box 2"/>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6" name="Text Box 3"/>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7" name="Text Box 4"/>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8" name="Text Box 1"/>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59" name="Text Box 2"/>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60" name="Text Box 3"/>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361" name="Text Box 4"/>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62" name="Text Box 1"/>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63" name="Text Box 2"/>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64" name="Text Box 3"/>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65" name="Text Box 4"/>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66"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67"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68"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69"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70" name="Text Box 1"/>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71" name="Text Box 2"/>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72" name="Text Box 3"/>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73" name="Text Box 4"/>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74" name="Text Box 1"/>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75" name="Text Box 2"/>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76" name="Text Box 3"/>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377" name="Text Box 4"/>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78"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79"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80"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381"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82"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83"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84"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85"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86" name="Text Box 1"/>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87" name="Text Box 2"/>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88" name="Text Box 3"/>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43</xdr:row>
      <xdr:rowOff>0</xdr:rowOff>
    </xdr:from>
    <xdr:to>
      <xdr:col>6</xdr:col>
      <xdr:colOff>76200</xdr:colOff>
      <xdr:row>44</xdr:row>
      <xdr:rowOff>0</xdr:rowOff>
    </xdr:to>
    <xdr:sp macro="" textlink="">
      <xdr:nvSpPr>
        <xdr:cNvPr id="1389" name="Text Box 4"/>
        <xdr:cNvSpPr txBox="1">
          <a:spLocks noChangeArrowheads="1"/>
        </xdr:cNvSpPr>
      </xdr:nvSpPr>
      <xdr:spPr bwMode="auto">
        <a:xfrm>
          <a:off x="3905250" y="30165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90" name="Text Box 1"/>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91" name="Text Box 2"/>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92" name="Text Box 3"/>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393" name="Text Box 4"/>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94"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95"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96"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397"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98"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399"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400"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401"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402" name="Text Box 1"/>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403" name="Text Box 2"/>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404" name="Text Box 3"/>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405" name="Text Box 4"/>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406" name="Text Box 1"/>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407" name="Text Box 2"/>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408" name="Text Box 3"/>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76200</xdr:colOff>
      <xdr:row>42</xdr:row>
      <xdr:rowOff>114300</xdr:rowOff>
    </xdr:to>
    <xdr:sp macro="" textlink="">
      <xdr:nvSpPr>
        <xdr:cNvPr id="1409" name="Text Box 4"/>
        <xdr:cNvSpPr txBox="1">
          <a:spLocks noChangeArrowheads="1"/>
        </xdr:cNvSpPr>
      </xdr:nvSpPr>
      <xdr:spPr bwMode="auto">
        <a:xfrm>
          <a:off x="3905250" y="293655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1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3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4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5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6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466"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467"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468"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469"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8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4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514"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515"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516"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517"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518"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519"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520"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521"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534" name="Text Box 1"/>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535" name="Text Box 2"/>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536" name="Text Box 3"/>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537" name="Text Box 4"/>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3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4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5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562"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563"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564"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565"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6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8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5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602"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603"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604"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605"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1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2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626" name="Text Box 1"/>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627" name="Text Box 2"/>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628" name="Text Box 3"/>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629" name="Text Box 4"/>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3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4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646"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647"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648"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649"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654"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655"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656"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657"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5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6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8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6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702" name="Text Box 1"/>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703" name="Text Box 2"/>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704" name="Text Box 3"/>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705" name="Text Box 4"/>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1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3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4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54"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55"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56"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57"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5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6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66"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67"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68"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769"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8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7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1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838" name="Text Box 1"/>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839" name="Text Box 2"/>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840" name="Text Box 3"/>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40</xdr:row>
      <xdr:rowOff>0</xdr:rowOff>
    </xdr:from>
    <xdr:to>
      <xdr:col>6</xdr:col>
      <xdr:colOff>76200</xdr:colOff>
      <xdr:row>41</xdr:row>
      <xdr:rowOff>114300</xdr:rowOff>
    </xdr:to>
    <xdr:sp macro="" textlink="">
      <xdr:nvSpPr>
        <xdr:cNvPr id="1841" name="Text Box 4"/>
        <xdr:cNvSpPr txBox="1">
          <a:spLocks noChangeArrowheads="1"/>
        </xdr:cNvSpPr>
      </xdr:nvSpPr>
      <xdr:spPr bwMode="auto">
        <a:xfrm>
          <a:off x="3905250" y="289655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2"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3"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4"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5"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6"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7"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8"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849"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854" name="Text Box 1"/>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855" name="Text Box 2"/>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856" name="Text Box 3"/>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29</xdr:row>
      <xdr:rowOff>0</xdr:rowOff>
    </xdr:from>
    <xdr:to>
      <xdr:col>6</xdr:col>
      <xdr:colOff>76200</xdr:colOff>
      <xdr:row>30</xdr:row>
      <xdr:rowOff>0</xdr:rowOff>
    </xdr:to>
    <xdr:sp macro="" textlink="">
      <xdr:nvSpPr>
        <xdr:cNvPr id="1857" name="Text Box 4"/>
        <xdr:cNvSpPr txBox="1">
          <a:spLocks noChangeArrowheads="1"/>
        </xdr:cNvSpPr>
      </xdr:nvSpPr>
      <xdr:spPr bwMode="auto">
        <a:xfrm>
          <a:off x="3905250" y="208216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5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6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82"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83"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84"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885"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8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8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10" name="Text Box 1"/>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11" name="Text Box 2"/>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12" name="Text Box 3"/>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13" name="Text Box 4"/>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1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922"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923"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924"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1925"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930" name="Text Box 1"/>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931" name="Text Box 2"/>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932" name="Text Box 3"/>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42</xdr:row>
      <xdr:rowOff>0</xdr:rowOff>
    </xdr:from>
    <xdr:to>
      <xdr:col>6</xdr:col>
      <xdr:colOff>76200</xdr:colOff>
      <xdr:row>43</xdr:row>
      <xdr:rowOff>114300</xdr:rowOff>
    </xdr:to>
    <xdr:sp macro="" textlink="">
      <xdr:nvSpPr>
        <xdr:cNvPr id="1933" name="Text Box 4"/>
        <xdr:cNvSpPr txBox="1">
          <a:spLocks noChangeArrowheads="1"/>
        </xdr:cNvSpPr>
      </xdr:nvSpPr>
      <xdr:spPr bwMode="auto">
        <a:xfrm>
          <a:off x="3905250" y="297656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3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4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4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42"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43"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44"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45"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46"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47"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48"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49"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50" name="Text Box 1"/>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51" name="Text Box 2"/>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52" name="Text Box 3"/>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53" name="Text Box 4"/>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5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5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5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5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58" name="Text Box 1"/>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59" name="Text Box 2"/>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60" name="Text Box 3"/>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44</xdr:row>
      <xdr:rowOff>0</xdr:rowOff>
    </xdr:from>
    <xdr:to>
      <xdr:col>6</xdr:col>
      <xdr:colOff>76200</xdr:colOff>
      <xdr:row>45</xdr:row>
      <xdr:rowOff>114300</xdr:rowOff>
    </xdr:to>
    <xdr:sp macro="" textlink="">
      <xdr:nvSpPr>
        <xdr:cNvPr id="1961" name="Text Box 4"/>
        <xdr:cNvSpPr txBox="1">
          <a:spLocks noChangeArrowheads="1"/>
        </xdr:cNvSpPr>
      </xdr:nvSpPr>
      <xdr:spPr bwMode="auto">
        <a:xfrm>
          <a:off x="3905250" y="3056572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62"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63"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64"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965"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6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6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6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6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970" name="Text Box 1"/>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971" name="Text Box 2"/>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972" name="Text Box 3"/>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76200</xdr:colOff>
      <xdr:row>46</xdr:row>
      <xdr:rowOff>114300</xdr:rowOff>
    </xdr:to>
    <xdr:sp macro="" textlink="">
      <xdr:nvSpPr>
        <xdr:cNvPr id="1973" name="Text Box 4"/>
        <xdr:cNvSpPr txBox="1">
          <a:spLocks noChangeArrowheads="1"/>
        </xdr:cNvSpPr>
      </xdr:nvSpPr>
      <xdr:spPr bwMode="auto">
        <a:xfrm>
          <a:off x="3905250" y="309657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19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86" name="Text Box 1"/>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87" name="Text Box 2"/>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88" name="Text Box 3"/>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89" name="Text Box 4"/>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90"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91"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92"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1993"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4" name="Text Box 1"/>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5" name="Text Box 2"/>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6" name="Text Box 3"/>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7" name="Text Box 4"/>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8" name="Text Box 1"/>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1999" name="Text Box 2"/>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2000" name="Text Box 3"/>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76200</xdr:colOff>
      <xdr:row>36</xdr:row>
      <xdr:rowOff>0</xdr:rowOff>
    </xdr:to>
    <xdr:sp macro="" textlink="">
      <xdr:nvSpPr>
        <xdr:cNvPr id="2001" name="Text Box 4"/>
        <xdr:cNvSpPr txBox="1">
          <a:spLocks noChangeArrowheads="1"/>
        </xdr:cNvSpPr>
      </xdr:nvSpPr>
      <xdr:spPr bwMode="auto">
        <a:xfrm>
          <a:off x="3905250" y="255079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2002" name="Text Box 1"/>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2003" name="Text Box 2"/>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2004" name="Text Box 3"/>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6</xdr:col>
      <xdr:colOff>76200</xdr:colOff>
      <xdr:row>34</xdr:row>
      <xdr:rowOff>0</xdr:rowOff>
    </xdr:to>
    <xdr:sp macro="" textlink="">
      <xdr:nvSpPr>
        <xdr:cNvPr id="2005" name="Text Box 4"/>
        <xdr:cNvSpPr txBox="1">
          <a:spLocks noChangeArrowheads="1"/>
        </xdr:cNvSpPr>
      </xdr:nvSpPr>
      <xdr:spPr bwMode="auto">
        <a:xfrm>
          <a:off x="3905250" y="24079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1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3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4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5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6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8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0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1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3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4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5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6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8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1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1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2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3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38"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39"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40"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241"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4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5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6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7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8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4"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5"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6"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7"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8"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299"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0"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1"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2"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3"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4"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5"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6"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7"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8"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09"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10" name="Text Box 1"/>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11" name="Text Box 2"/>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12" name="Text Box 3"/>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37</xdr:row>
      <xdr:rowOff>0</xdr:rowOff>
    </xdr:from>
    <xdr:to>
      <xdr:col>6</xdr:col>
      <xdr:colOff>76200</xdr:colOff>
      <xdr:row>38</xdr:row>
      <xdr:rowOff>114300</xdr:rowOff>
    </xdr:to>
    <xdr:sp macro="" textlink="">
      <xdr:nvSpPr>
        <xdr:cNvPr id="2313" name="Text Box 4"/>
        <xdr:cNvSpPr txBox="1">
          <a:spLocks noChangeArrowheads="1"/>
        </xdr:cNvSpPr>
      </xdr:nvSpPr>
      <xdr:spPr bwMode="auto">
        <a:xfrm>
          <a:off x="3905250" y="2713672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4"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5"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6"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7"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8"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19"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0"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1"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2"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3"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4"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5"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6" name="Text Box 1"/>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7" name="Text Box 2"/>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8" name="Text Box 3"/>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6</xdr:col>
      <xdr:colOff>76200</xdr:colOff>
      <xdr:row>32</xdr:row>
      <xdr:rowOff>0</xdr:rowOff>
    </xdr:to>
    <xdr:sp macro="" textlink="">
      <xdr:nvSpPr>
        <xdr:cNvPr id="2329" name="Text Box 4"/>
        <xdr:cNvSpPr txBox="1">
          <a:spLocks noChangeArrowheads="1"/>
        </xdr:cNvSpPr>
      </xdr:nvSpPr>
      <xdr:spPr bwMode="auto">
        <a:xfrm>
          <a:off x="3905250" y="22450425"/>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0"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1"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2"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3"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4"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5"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6"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7"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8" name="Text Box 1"/>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39" name="Text Box 2"/>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40" name="Text Box 3"/>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2341" name="Text Box 4"/>
        <xdr:cNvSpPr txBox="1">
          <a:spLocks noChangeArrowheads="1"/>
        </xdr:cNvSpPr>
      </xdr:nvSpPr>
      <xdr:spPr bwMode="auto">
        <a:xfrm>
          <a:off x="3905250" y="317658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2" name="Text Box 1"/>
        <xdr:cNvSpPr txBox="1">
          <a:spLocks noChangeArrowheads="1"/>
        </xdr:cNvSpPr>
      </xdr:nvSpPr>
      <xdr:spPr bwMode="auto">
        <a:xfrm>
          <a:off x="3905250" y="15106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3" name="Text Box 2"/>
        <xdr:cNvSpPr txBox="1">
          <a:spLocks noChangeArrowheads="1"/>
        </xdr:cNvSpPr>
      </xdr:nvSpPr>
      <xdr:spPr bwMode="auto">
        <a:xfrm>
          <a:off x="3905250" y="15106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4" name="Text Box 3"/>
        <xdr:cNvSpPr txBox="1">
          <a:spLocks noChangeArrowheads="1"/>
        </xdr:cNvSpPr>
      </xdr:nvSpPr>
      <xdr:spPr bwMode="auto">
        <a:xfrm>
          <a:off x="3905250" y="15106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5" name="Text Box 4"/>
        <xdr:cNvSpPr txBox="1">
          <a:spLocks noChangeArrowheads="1"/>
        </xdr:cNvSpPr>
      </xdr:nvSpPr>
      <xdr:spPr bwMode="auto">
        <a:xfrm>
          <a:off x="3905250" y="15106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6" name="Text Box 1"/>
        <xdr:cNvSpPr txBox="1">
          <a:spLocks noChangeArrowheads="1"/>
        </xdr:cNvSpPr>
      </xdr:nvSpPr>
      <xdr:spPr bwMode="auto">
        <a:xfrm>
          <a:off x="3905250" y="15106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7" name="Text Box 2"/>
        <xdr:cNvSpPr txBox="1">
          <a:spLocks noChangeArrowheads="1"/>
        </xdr:cNvSpPr>
      </xdr:nvSpPr>
      <xdr:spPr bwMode="auto">
        <a:xfrm>
          <a:off x="3905250" y="15106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8" name="Text Box 3"/>
        <xdr:cNvSpPr txBox="1">
          <a:spLocks noChangeArrowheads="1"/>
        </xdr:cNvSpPr>
      </xdr:nvSpPr>
      <xdr:spPr bwMode="auto">
        <a:xfrm>
          <a:off x="3905250" y="15106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314325</xdr:rowOff>
    </xdr:to>
    <xdr:sp macro="" textlink="">
      <xdr:nvSpPr>
        <xdr:cNvPr id="2349" name="Text Box 4"/>
        <xdr:cNvSpPr txBox="1">
          <a:spLocks noChangeArrowheads="1"/>
        </xdr:cNvSpPr>
      </xdr:nvSpPr>
      <xdr:spPr bwMode="auto">
        <a:xfrm>
          <a:off x="3905250" y="15106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0" name="Text Box 1"/>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1" name="Text Box 2"/>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2" name="Text Box 3"/>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3" name="Text Box 4"/>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4" name="Text Box 1"/>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5" name="Text Box 2"/>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6" name="Text Box 3"/>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7" name="Text Box 4"/>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8" name="Text Box 1"/>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59" name="Text Box 2"/>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60" name="Text Box 3"/>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63</xdr:row>
      <xdr:rowOff>0</xdr:rowOff>
    </xdr:from>
    <xdr:to>
      <xdr:col>6</xdr:col>
      <xdr:colOff>76200</xdr:colOff>
      <xdr:row>64</xdr:row>
      <xdr:rowOff>38100</xdr:rowOff>
    </xdr:to>
    <xdr:sp macro="" textlink="">
      <xdr:nvSpPr>
        <xdr:cNvPr id="2361" name="Text Box 4"/>
        <xdr:cNvSpPr txBox="1">
          <a:spLocks noChangeArrowheads="1"/>
        </xdr:cNvSpPr>
      </xdr:nvSpPr>
      <xdr:spPr bwMode="auto">
        <a:xfrm>
          <a:off x="3905250" y="4101465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62" name="Text Box 1"/>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63" name="Text Box 2"/>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64" name="Text Box 3"/>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65" name="Text Box 4"/>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109</xdr:row>
      <xdr:rowOff>0</xdr:rowOff>
    </xdr:from>
    <xdr:to>
      <xdr:col>6</xdr:col>
      <xdr:colOff>76200</xdr:colOff>
      <xdr:row>109</xdr:row>
      <xdr:rowOff>200025</xdr:rowOff>
    </xdr:to>
    <xdr:sp macro="" textlink="">
      <xdr:nvSpPr>
        <xdr:cNvPr id="2366" name="Text Box 1"/>
        <xdr:cNvSpPr txBox="1">
          <a:spLocks noChangeArrowheads="1"/>
        </xdr:cNvSpPr>
      </xdr:nvSpPr>
      <xdr:spPr bwMode="auto">
        <a:xfrm>
          <a:off x="3905250" y="71732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109</xdr:row>
      <xdr:rowOff>0</xdr:rowOff>
    </xdr:from>
    <xdr:to>
      <xdr:col>6</xdr:col>
      <xdr:colOff>76200</xdr:colOff>
      <xdr:row>109</xdr:row>
      <xdr:rowOff>200025</xdr:rowOff>
    </xdr:to>
    <xdr:sp macro="" textlink="">
      <xdr:nvSpPr>
        <xdr:cNvPr id="2367" name="Text Box 2"/>
        <xdr:cNvSpPr txBox="1">
          <a:spLocks noChangeArrowheads="1"/>
        </xdr:cNvSpPr>
      </xdr:nvSpPr>
      <xdr:spPr bwMode="auto">
        <a:xfrm>
          <a:off x="3905250" y="71732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109</xdr:row>
      <xdr:rowOff>0</xdr:rowOff>
    </xdr:from>
    <xdr:to>
      <xdr:col>6</xdr:col>
      <xdr:colOff>76200</xdr:colOff>
      <xdr:row>109</xdr:row>
      <xdr:rowOff>200025</xdr:rowOff>
    </xdr:to>
    <xdr:sp macro="" textlink="">
      <xdr:nvSpPr>
        <xdr:cNvPr id="2368" name="Text Box 3"/>
        <xdr:cNvSpPr txBox="1">
          <a:spLocks noChangeArrowheads="1"/>
        </xdr:cNvSpPr>
      </xdr:nvSpPr>
      <xdr:spPr bwMode="auto">
        <a:xfrm>
          <a:off x="3905250" y="71732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109</xdr:row>
      <xdr:rowOff>0</xdr:rowOff>
    </xdr:from>
    <xdr:to>
      <xdr:col>6</xdr:col>
      <xdr:colOff>76200</xdr:colOff>
      <xdr:row>109</xdr:row>
      <xdr:rowOff>200025</xdr:rowOff>
    </xdr:to>
    <xdr:sp macro="" textlink="">
      <xdr:nvSpPr>
        <xdr:cNvPr id="2369" name="Text Box 4"/>
        <xdr:cNvSpPr txBox="1">
          <a:spLocks noChangeArrowheads="1"/>
        </xdr:cNvSpPr>
      </xdr:nvSpPr>
      <xdr:spPr bwMode="auto">
        <a:xfrm>
          <a:off x="3905250" y="71732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0" name="Text Box 1"/>
        <xdr:cNvSpPr txBox="1">
          <a:spLocks noChangeArrowheads="1"/>
        </xdr:cNvSpPr>
      </xdr:nvSpPr>
      <xdr:spPr bwMode="auto">
        <a:xfrm>
          <a:off x="3905250" y="621982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1" name="Text Box 2"/>
        <xdr:cNvSpPr txBox="1">
          <a:spLocks noChangeArrowheads="1"/>
        </xdr:cNvSpPr>
      </xdr:nvSpPr>
      <xdr:spPr bwMode="auto">
        <a:xfrm>
          <a:off x="3905250" y="621982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2" name="Text Box 3"/>
        <xdr:cNvSpPr txBox="1">
          <a:spLocks noChangeArrowheads="1"/>
        </xdr:cNvSpPr>
      </xdr:nvSpPr>
      <xdr:spPr bwMode="auto">
        <a:xfrm>
          <a:off x="3905250" y="621982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3" name="Text Box 4"/>
        <xdr:cNvSpPr txBox="1">
          <a:spLocks noChangeArrowheads="1"/>
        </xdr:cNvSpPr>
      </xdr:nvSpPr>
      <xdr:spPr bwMode="auto">
        <a:xfrm>
          <a:off x="3905250" y="621982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74" name="Text Box 1"/>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75" name="Text Box 2"/>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76" name="Text Box 3"/>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77" name="Text Box 4"/>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8" name="Text Box 1"/>
        <xdr:cNvSpPr txBox="1">
          <a:spLocks noChangeArrowheads="1"/>
        </xdr:cNvSpPr>
      </xdr:nvSpPr>
      <xdr:spPr bwMode="auto">
        <a:xfrm>
          <a:off x="3905250" y="621982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79" name="Text Box 2"/>
        <xdr:cNvSpPr txBox="1">
          <a:spLocks noChangeArrowheads="1"/>
        </xdr:cNvSpPr>
      </xdr:nvSpPr>
      <xdr:spPr bwMode="auto">
        <a:xfrm>
          <a:off x="3905250" y="621982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80" name="Text Box 3"/>
        <xdr:cNvSpPr txBox="1">
          <a:spLocks noChangeArrowheads="1"/>
        </xdr:cNvSpPr>
      </xdr:nvSpPr>
      <xdr:spPr bwMode="auto">
        <a:xfrm>
          <a:off x="3905250" y="621982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76200</xdr:colOff>
      <xdr:row>93</xdr:row>
      <xdr:rowOff>400050</xdr:rowOff>
    </xdr:to>
    <xdr:sp macro="" textlink="">
      <xdr:nvSpPr>
        <xdr:cNvPr id="2381" name="Text Box 4"/>
        <xdr:cNvSpPr txBox="1">
          <a:spLocks noChangeArrowheads="1"/>
        </xdr:cNvSpPr>
      </xdr:nvSpPr>
      <xdr:spPr bwMode="auto">
        <a:xfrm>
          <a:off x="3905250" y="621982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82" name="Text Box 1"/>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83" name="Text Box 2"/>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84" name="Text Box 3"/>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85" name="Text Box 4"/>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86" name="Text Box 1"/>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87" name="Text Box 2"/>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88" name="Text Box 3"/>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89" name="Text Box 4"/>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90" name="Text Box 1"/>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91" name="Text Box 2"/>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92" name="Text Box 3"/>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393" name="Text Box 4"/>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94" name="Text Box 1"/>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95" name="Text Box 2"/>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96" name="Text Box 3"/>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397" name="Text Box 4"/>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98" name="Text Box 1"/>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399" name="Text Box 2"/>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400" name="Text Box 3"/>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106</xdr:row>
      <xdr:rowOff>0</xdr:rowOff>
    </xdr:from>
    <xdr:to>
      <xdr:col>6</xdr:col>
      <xdr:colOff>76200</xdr:colOff>
      <xdr:row>107</xdr:row>
      <xdr:rowOff>0</xdr:rowOff>
    </xdr:to>
    <xdr:sp macro="" textlink="">
      <xdr:nvSpPr>
        <xdr:cNvPr id="2401" name="Text Box 4"/>
        <xdr:cNvSpPr txBox="1">
          <a:spLocks noChangeArrowheads="1"/>
        </xdr:cNvSpPr>
      </xdr:nvSpPr>
      <xdr:spPr bwMode="auto">
        <a:xfrm>
          <a:off x="3905250" y="705326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402" name="Text Box 1"/>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403" name="Text Box 2"/>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404" name="Text Box 3"/>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107</xdr:row>
      <xdr:rowOff>0</xdr:rowOff>
    </xdr:from>
    <xdr:to>
      <xdr:col>6</xdr:col>
      <xdr:colOff>76200</xdr:colOff>
      <xdr:row>108</xdr:row>
      <xdr:rowOff>0</xdr:rowOff>
    </xdr:to>
    <xdr:sp macro="" textlink="">
      <xdr:nvSpPr>
        <xdr:cNvPr id="2405" name="Text Box 4"/>
        <xdr:cNvSpPr txBox="1">
          <a:spLocks noChangeArrowheads="1"/>
        </xdr:cNvSpPr>
      </xdr:nvSpPr>
      <xdr:spPr bwMode="auto">
        <a:xfrm>
          <a:off x="3905250" y="709326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06" name="Text Box 1"/>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07" name="Text Box 2"/>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08" name="Text Box 3"/>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09" name="Text Box 4"/>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10" name="Text Box 1"/>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11" name="Text Box 2"/>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12" name="Text Box 3"/>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104</xdr:row>
      <xdr:rowOff>0</xdr:rowOff>
    </xdr:from>
    <xdr:to>
      <xdr:col>6</xdr:col>
      <xdr:colOff>76200</xdr:colOff>
      <xdr:row>105</xdr:row>
      <xdr:rowOff>0</xdr:rowOff>
    </xdr:to>
    <xdr:sp macro="" textlink="">
      <xdr:nvSpPr>
        <xdr:cNvPr id="2413" name="Text Box 4"/>
        <xdr:cNvSpPr txBox="1">
          <a:spLocks noChangeArrowheads="1"/>
        </xdr:cNvSpPr>
      </xdr:nvSpPr>
      <xdr:spPr bwMode="auto">
        <a:xfrm>
          <a:off x="3905250" y="697325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1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2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3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4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5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6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470" name="Text Box 1"/>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471" name="Text Box 2"/>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472" name="Text Box 3"/>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473" name="Text Box 4"/>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7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8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49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0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1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2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3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4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554" name="Text Box 1"/>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555" name="Text Box 2"/>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556" name="Text Box 3"/>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557" name="Text Box 4"/>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5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6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7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8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59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0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1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2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3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4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5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6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7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8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69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0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1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2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3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4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5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6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7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8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79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2802" name="Text Box 1"/>
        <xdr:cNvSpPr txBox="1">
          <a:spLocks noChangeArrowheads="1"/>
        </xdr:cNvSpPr>
      </xdr:nvSpPr>
      <xdr:spPr bwMode="auto">
        <a:xfrm>
          <a:off x="3905250" y="6379845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2803" name="Text Box 2"/>
        <xdr:cNvSpPr txBox="1">
          <a:spLocks noChangeArrowheads="1"/>
        </xdr:cNvSpPr>
      </xdr:nvSpPr>
      <xdr:spPr bwMode="auto">
        <a:xfrm>
          <a:off x="3905250" y="6379845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2804" name="Text Box 3"/>
        <xdr:cNvSpPr txBox="1">
          <a:spLocks noChangeArrowheads="1"/>
        </xdr:cNvSpPr>
      </xdr:nvSpPr>
      <xdr:spPr bwMode="auto">
        <a:xfrm>
          <a:off x="3905250" y="6379845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96</xdr:row>
      <xdr:rowOff>0</xdr:rowOff>
    </xdr:from>
    <xdr:to>
      <xdr:col>6</xdr:col>
      <xdr:colOff>76200</xdr:colOff>
      <xdr:row>97</xdr:row>
      <xdr:rowOff>0</xdr:rowOff>
    </xdr:to>
    <xdr:sp macro="" textlink="">
      <xdr:nvSpPr>
        <xdr:cNvPr id="2805" name="Text Box 4"/>
        <xdr:cNvSpPr txBox="1">
          <a:spLocks noChangeArrowheads="1"/>
        </xdr:cNvSpPr>
      </xdr:nvSpPr>
      <xdr:spPr bwMode="auto">
        <a:xfrm>
          <a:off x="3905250" y="6379845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0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1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2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3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4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5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6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870" name="Text Box 1"/>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871" name="Text Box 2"/>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872" name="Text Box 3"/>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0</xdr:rowOff>
    </xdr:to>
    <xdr:sp macro="" textlink="">
      <xdr:nvSpPr>
        <xdr:cNvPr id="2873" name="Text Box 4"/>
        <xdr:cNvSpPr txBox="1">
          <a:spLocks noChangeArrowheads="1"/>
        </xdr:cNvSpPr>
      </xdr:nvSpPr>
      <xdr:spPr bwMode="auto">
        <a:xfrm>
          <a:off x="3905250" y="668750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7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8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89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0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1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2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3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4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5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6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7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8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299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0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1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2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3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4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5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6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7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8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09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0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1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2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3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4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5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6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7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6"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7"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8"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89"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0"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1"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2"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3"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4"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5"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6"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7"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8"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199"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0"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1"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2" name="Text Box 1"/>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3" name="Text Box 2"/>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4" name="Text Box 3"/>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94</xdr:row>
      <xdr:rowOff>0</xdr:rowOff>
    </xdr:from>
    <xdr:to>
      <xdr:col>6</xdr:col>
      <xdr:colOff>76200</xdr:colOff>
      <xdr:row>94</xdr:row>
      <xdr:rowOff>200025</xdr:rowOff>
    </xdr:to>
    <xdr:sp macro="" textlink="">
      <xdr:nvSpPr>
        <xdr:cNvPr id="3205" name="Text Box 4"/>
        <xdr:cNvSpPr txBox="1">
          <a:spLocks noChangeArrowheads="1"/>
        </xdr:cNvSpPr>
      </xdr:nvSpPr>
      <xdr:spPr bwMode="auto">
        <a:xfrm>
          <a:off x="3905250" y="627983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06" name="Text Box 1"/>
        <xdr:cNvSpPr txBox="1">
          <a:spLocks noChangeArrowheads="1"/>
        </xdr:cNvSpPr>
      </xdr:nvSpPr>
      <xdr:spPr bwMode="auto">
        <a:xfrm>
          <a:off x="3905250" y="652462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07" name="Text Box 2"/>
        <xdr:cNvSpPr txBox="1">
          <a:spLocks noChangeArrowheads="1"/>
        </xdr:cNvSpPr>
      </xdr:nvSpPr>
      <xdr:spPr bwMode="auto">
        <a:xfrm>
          <a:off x="3905250" y="652462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08" name="Text Box 3"/>
        <xdr:cNvSpPr txBox="1">
          <a:spLocks noChangeArrowheads="1"/>
        </xdr:cNvSpPr>
      </xdr:nvSpPr>
      <xdr:spPr bwMode="auto">
        <a:xfrm>
          <a:off x="3905250" y="652462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09" name="Text Box 4"/>
        <xdr:cNvSpPr txBox="1">
          <a:spLocks noChangeArrowheads="1"/>
        </xdr:cNvSpPr>
      </xdr:nvSpPr>
      <xdr:spPr bwMode="auto">
        <a:xfrm>
          <a:off x="3905250" y="652462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10" name="Text Box 1"/>
        <xdr:cNvSpPr txBox="1">
          <a:spLocks noChangeArrowheads="1"/>
        </xdr:cNvSpPr>
      </xdr:nvSpPr>
      <xdr:spPr bwMode="auto">
        <a:xfrm>
          <a:off x="3905250" y="652462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11" name="Text Box 2"/>
        <xdr:cNvSpPr txBox="1">
          <a:spLocks noChangeArrowheads="1"/>
        </xdr:cNvSpPr>
      </xdr:nvSpPr>
      <xdr:spPr bwMode="auto">
        <a:xfrm>
          <a:off x="3905250" y="652462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12" name="Text Box 3"/>
        <xdr:cNvSpPr txBox="1">
          <a:spLocks noChangeArrowheads="1"/>
        </xdr:cNvSpPr>
      </xdr:nvSpPr>
      <xdr:spPr bwMode="auto">
        <a:xfrm>
          <a:off x="3905250" y="652462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98</xdr:row>
      <xdr:rowOff>0</xdr:rowOff>
    </xdr:from>
    <xdr:to>
      <xdr:col>6</xdr:col>
      <xdr:colOff>76200</xdr:colOff>
      <xdr:row>99</xdr:row>
      <xdr:rowOff>0</xdr:rowOff>
    </xdr:to>
    <xdr:sp macro="" textlink="">
      <xdr:nvSpPr>
        <xdr:cNvPr id="3213" name="Text Box 4"/>
        <xdr:cNvSpPr txBox="1">
          <a:spLocks noChangeArrowheads="1"/>
        </xdr:cNvSpPr>
      </xdr:nvSpPr>
      <xdr:spPr bwMode="auto">
        <a:xfrm>
          <a:off x="3905250" y="652462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4" name="Text Box 1"/>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5" name="Text Box 2"/>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6" name="Text Box 3"/>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7" name="Text Box 4"/>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8" name="Text Box 1"/>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19" name="Text Box 2"/>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0" name="Text Box 3"/>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1" name="Text Box 4"/>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2" name="Text Box 1"/>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3" name="Text Box 2"/>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4" name="Text Box 3"/>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130</xdr:row>
      <xdr:rowOff>0</xdr:rowOff>
    </xdr:from>
    <xdr:to>
      <xdr:col>6</xdr:col>
      <xdr:colOff>76200</xdr:colOff>
      <xdr:row>133</xdr:row>
      <xdr:rowOff>0</xdr:rowOff>
    </xdr:to>
    <xdr:sp macro="" textlink="">
      <xdr:nvSpPr>
        <xdr:cNvPr id="3225" name="Text Box 4"/>
        <xdr:cNvSpPr txBox="1">
          <a:spLocks noChangeArrowheads="1"/>
        </xdr:cNvSpPr>
      </xdr:nvSpPr>
      <xdr:spPr bwMode="auto">
        <a:xfrm>
          <a:off x="3905250" y="84553425"/>
          <a:ext cx="76200"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26"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27"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28"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29"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0"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1"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2"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3"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4" name="Text Box 1"/>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5" name="Text Box 2"/>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6" name="Text Box 3"/>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13</xdr:row>
      <xdr:rowOff>0</xdr:rowOff>
    </xdr:from>
    <xdr:to>
      <xdr:col>6</xdr:col>
      <xdr:colOff>76200</xdr:colOff>
      <xdr:row>13</xdr:row>
      <xdr:rowOff>447675</xdr:rowOff>
    </xdr:to>
    <xdr:sp macro="" textlink="">
      <xdr:nvSpPr>
        <xdr:cNvPr id="3237" name="Text Box 4"/>
        <xdr:cNvSpPr txBox="1">
          <a:spLocks noChangeArrowheads="1"/>
        </xdr:cNvSpPr>
      </xdr:nvSpPr>
      <xdr:spPr bwMode="auto">
        <a:xfrm>
          <a:off x="3905250" y="83534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38" name="Text Box 1"/>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39" name="Text Box 2"/>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0" name="Text Box 3"/>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1" name="Text Box 4"/>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2" name="Text Box 1"/>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3" name="Text Box 2"/>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4" name="Text Box 3"/>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5" name="Text Box 4"/>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6" name="Text Box 1"/>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7" name="Text Box 2"/>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8" name="Text Box 3"/>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49" name="Text Box 4"/>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0" name="Text Box 1"/>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1" name="Text Box 2"/>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2" name="Text Box 3"/>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3" name="Text Box 4"/>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4" name="Text Box 1"/>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5" name="Text Box 2"/>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6" name="Text Box 3"/>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7" name="Text Box 4"/>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8" name="Text Box 1"/>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59" name="Text Box 2"/>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0" name="Text Box 3"/>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1" name="Text Box 4"/>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2" name="Text Box 1"/>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3" name="Text Box 2"/>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4" name="Text Box 3"/>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5" name="Text Box 4"/>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6" name="Text Box 1"/>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7" name="Text Box 2"/>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8" name="Text Box 3"/>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76200</xdr:colOff>
      <xdr:row>20</xdr:row>
      <xdr:rowOff>0</xdr:rowOff>
    </xdr:to>
    <xdr:sp macro="" textlink="">
      <xdr:nvSpPr>
        <xdr:cNvPr id="3269" name="Text Box 4"/>
        <xdr:cNvSpPr txBox="1">
          <a:spLocks noChangeArrowheads="1"/>
        </xdr:cNvSpPr>
      </xdr:nvSpPr>
      <xdr:spPr bwMode="auto">
        <a:xfrm>
          <a:off x="3905250" y="12049125"/>
          <a:ext cx="76200"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0" name="Text Box 1"/>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1" name="Text Box 2"/>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2" name="Text Box 3"/>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3" name="Text Box 4"/>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4" name="Text Box 1"/>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5" name="Text Box 2"/>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6" name="Text Box 3"/>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7" name="Text Box 4"/>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8" name="Text Box 1"/>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79" name="Text Box 2"/>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0" name="Text Box 3"/>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1" name="Text Box 4"/>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2" name="Text Box 1"/>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3" name="Text Box 2"/>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4" name="Text Box 3"/>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5" name="Text Box 4"/>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6" name="Text Box 1"/>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7" name="Text Box 2"/>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8" name="Text Box 3"/>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89" name="Text Box 4"/>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0" name="Text Box 1"/>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1" name="Text Box 2"/>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2" name="Text Box 3"/>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3" name="Text Box 4"/>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4" name="Text Box 1"/>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5" name="Text Box 2"/>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6" name="Text Box 3"/>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7" name="Text Box 4"/>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8" name="Text Box 1"/>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299" name="Text Box 2"/>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300" name="Text Box 3"/>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xdr:row>
      <xdr:rowOff>0</xdr:rowOff>
    </xdr:from>
    <xdr:to>
      <xdr:col>6</xdr:col>
      <xdr:colOff>76200</xdr:colOff>
      <xdr:row>23</xdr:row>
      <xdr:rowOff>542925</xdr:rowOff>
    </xdr:to>
    <xdr:sp macro="" textlink="">
      <xdr:nvSpPr>
        <xdr:cNvPr id="3301" name="Text Box 4"/>
        <xdr:cNvSpPr txBox="1">
          <a:spLocks noChangeArrowheads="1"/>
        </xdr:cNvSpPr>
      </xdr:nvSpPr>
      <xdr:spPr bwMode="auto">
        <a:xfrm>
          <a:off x="3905250" y="13677900"/>
          <a:ext cx="76200"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2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3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4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5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6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7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8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39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2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3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4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5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6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7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8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49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2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3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4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5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6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7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8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59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2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3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4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5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6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7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8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69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2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3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4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5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6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7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8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79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2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3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4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5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6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7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8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89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2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3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4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5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6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7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8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399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2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3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4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5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6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7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8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09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6"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7"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8"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09"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0"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1"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2"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3"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4"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5"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6"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7"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8"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19"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0"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1"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2" name="Text Box 1"/>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3" name="Text Box 2"/>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4" name="Text Box 3"/>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76200</xdr:colOff>
      <xdr:row>51</xdr:row>
      <xdr:rowOff>114300</xdr:rowOff>
    </xdr:to>
    <xdr:sp macro="" textlink="">
      <xdr:nvSpPr>
        <xdr:cNvPr id="4125" name="Text Box 4"/>
        <xdr:cNvSpPr txBox="1">
          <a:spLocks noChangeArrowheads="1"/>
        </xdr:cNvSpPr>
      </xdr:nvSpPr>
      <xdr:spPr bwMode="auto">
        <a:xfrm>
          <a:off x="3905250" y="33528000"/>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26" name="Text Box 1"/>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27" name="Text Box 2"/>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28" name="Text Box 3"/>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29" name="Text Box 4"/>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0" name="Text Box 1"/>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1" name="Text Box 2"/>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2" name="Text Box 3"/>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3" name="Text Box 4"/>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4" name="Text Box 1"/>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5" name="Text Box 2"/>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6" name="Text Box 3"/>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48</xdr:row>
      <xdr:rowOff>0</xdr:rowOff>
    </xdr:from>
    <xdr:to>
      <xdr:col>6</xdr:col>
      <xdr:colOff>76200</xdr:colOff>
      <xdr:row>49</xdr:row>
      <xdr:rowOff>19050</xdr:rowOff>
    </xdr:to>
    <xdr:sp macro="" textlink="">
      <xdr:nvSpPr>
        <xdr:cNvPr id="4137" name="Text Box 4"/>
        <xdr:cNvSpPr txBox="1">
          <a:spLocks noChangeArrowheads="1"/>
        </xdr:cNvSpPr>
      </xdr:nvSpPr>
      <xdr:spPr bwMode="auto">
        <a:xfrm>
          <a:off x="3905250" y="32165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6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7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8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19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0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1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2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6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7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8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29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0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1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2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6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7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8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39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0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1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2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6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7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8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49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0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1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2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6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7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8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59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0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1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2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6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7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8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69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0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1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2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6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7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8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79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0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1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2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6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7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8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89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0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1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2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3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2"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3"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4"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5"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6"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7"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8"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49"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0"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1"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2"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3"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4"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5"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6"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7"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8" name="Text Box 1"/>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59" name="Text Box 2"/>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60" name="Text Box 3"/>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4961" name="Text Box 4"/>
        <xdr:cNvSpPr txBox="1">
          <a:spLocks noChangeArrowheads="1"/>
        </xdr:cNvSpPr>
      </xdr:nvSpPr>
      <xdr:spPr bwMode="auto">
        <a:xfrm>
          <a:off x="3905250" y="34956750"/>
          <a:ext cx="76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2" name="Text Box 1"/>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3" name="Text Box 2"/>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4" name="Text Box 3"/>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5" name="Text Box 4"/>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6" name="Text Box 1"/>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7" name="Text Box 2"/>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8" name="Text Box 3"/>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69" name="Text Box 4"/>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70" name="Text Box 1"/>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71" name="Text Box 2"/>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72" name="Text Box 3"/>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68</xdr:row>
      <xdr:rowOff>0</xdr:rowOff>
    </xdr:from>
    <xdr:to>
      <xdr:col>6</xdr:col>
      <xdr:colOff>76200</xdr:colOff>
      <xdr:row>69</xdr:row>
      <xdr:rowOff>0</xdr:rowOff>
    </xdr:to>
    <xdr:sp macro="" textlink="">
      <xdr:nvSpPr>
        <xdr:cNvPr id="4973" name="Text Box 4"/>
        <xdr:cNvSpPr txBox="1">
          <a:spLocks noChangeArrowheads="1"/>
        </xdr:cNvSpPr>
      </xdr:nvSpPr>
      <xdr:spPr bwMode="auto">
        <a:xfrm>
          <a:off x="3905250" y="432149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4" name="Text Box 1"/>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5" name="Text Box 2"/>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6" name="Text Box 3"/>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7" name="Text Box 4"/>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8" name="Text Box 1"/>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79" name="Text Box 2"/>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0" name="Text Box 3"/>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1" name="Text Box 4"/>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2" name="Text Box 1"/>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3" name="Text Box 2"/>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4" name="Text Box 3"/>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74</xdr:row>
      <xdr:rowOff>0</xdr:rowOff>
    </xdr:from>
    <xdr:to>
      <xdr:col>6</xdr:col>
      <xdr:colOff>76200</xdr:colOff>
      <xdr:row>74</xdr:row>
      <xdr:rowOff>447675</xdr:rowOff>
    </xdr:to>
    <xdr:sp macro="" textlink="">
      <xdr:nvSpPr>
        <xdr:cNvPr id="4985" name="Text Box 4"/>
        <xdr:cNvSpPr txBox="1">
          <a:spLocks noChangeArrowheads="1"/>
        </xdr:cNvSpPr>
      </xdr:nvSpPr>
      <xdr:spPr bwMode="auto">
        <a:xfrm>
          <a:off x="3905250" y="4854892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4986"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4987"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4988"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4989"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49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49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49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49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4994"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4995"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4996"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4997"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4998"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4999"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00"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01"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002"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003"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004"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005"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10"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11"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12"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13"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14"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15"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16"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17"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22"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23"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24"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25"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2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2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2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2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30"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31"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32"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33"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34"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35"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36"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37"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3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3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4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5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6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7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8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94"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95"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96"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097"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9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09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2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3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4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5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6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7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7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7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7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7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7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7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7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178"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179"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180"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181"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8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8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8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8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8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8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8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8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19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2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3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4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5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6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7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8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29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2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3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4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5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6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7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8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39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2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2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2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2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426"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427"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428"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429"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3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4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5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6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7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8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494"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495"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496"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497"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9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49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2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3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4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5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6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7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8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59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2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3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4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5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6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7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8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69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2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3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4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5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6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7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8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79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0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0"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1"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2"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3"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4"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5"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6"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7"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8"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19"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0"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1"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2"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3"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4"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5"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6" name="Text Box 1"/>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7" name="Text Box 2"/>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8" name="Text Box 3"/>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0</xdr:rowOff>
    </xdr:to>
    <xdr:sp macro="" textlink="">
      <xdr:nvSpPr>
        <xdr:cNvPr id="5829" name="Text Box 4"/>
        <xdr:cNvSpPr txBox="1">
          <a:spLocks noChangeArrowheads="1"/>
        </xdr:cNvSpPr>
      </xdr:nvSpPr>
      <xdr:spPr bwMode="auto">
        <a:xfrm>
          <a:off x="3905250" y="110794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830"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831"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832"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833"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834" name="Text Box 1"/>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835" name="Text Box 2"/>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836" name="Text Box 3"/>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178</xdr:row>
      <xdr:rowOff>114300</xdr:rowOff>
    </xdr:to>
    <xdr:sp macro="" textlink="">
      <xdr:nvSpPr>
        <xdr:cNvPr id="5837" name="Text Box 4"/>
        <xdr:cNvSpPr txBox="1">
          <a:spLocks noChangeArrowheads="1"/>
        </xdr:cNvSpPr>
      </xdr:nvSpPr>
      <xdr:spPr bwMode="auto">
        <a:xfrm>
          <a:off x="3905250" y="1107948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38"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39"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40"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41"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42"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43"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44"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45"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46"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47"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48"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49"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54"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55"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56"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57"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58"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59"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60"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61"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66"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67"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68"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69"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70"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71"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72"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73"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74"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75"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76"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77"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78"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79"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80"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81"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82"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83"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84"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885"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86"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87"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88"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889"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8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894" name="Text Box 1"/>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895" name="Text Box 2"/>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896" name="Text Box 3"/>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897" name="Text Box 4"/>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98"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899"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00"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01"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902"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903"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904"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905"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10"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11"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12"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13"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14"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15"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16"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17"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918" name="Text Box 1"/>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919" name="Text Box 2"/>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920" name="Text Box 3"/>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85725</xdr:rowOff>
    </xdr:to>
    <xdr:sp macro="" textlink="">
      <xdr:nvSpPr>
        <xdr:cNvPr id="5921" name="Text Box 4"/>
        <xdr:cNvSpPr txBox="1">
          <a:spLocks noChangeArrowheads="1"/>
        </xdr:cNvSpPr>
      </xdr:nvSpPr>
      <xdr:spPr bwMode="auto">
        <a:xfrm>
          <a:off x="3905250" y="110794800"/>
          <a:ext cx="7620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22"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23"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24"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25"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30" name="Text Box 1"/>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31" name="Text Box 2"/>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32" name="Text Box 3"/>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33" name="Text Box 4"/>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38" name="Text Box 1"/>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39" name="Text Box 2"/>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40" name="Text Box 3"/>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41" name="Text Box 4"/>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42" name="Text Box 1"/>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43" name="Text Box 2"/>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44" name="Text Box 3"/>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38100</xdr:rowOff>
    </xdr:to>
    <xdr:sp macro="" textlink="">
      <xdr:nvSpPr>
        <xdr:cNvPr id="5945" name="Text Box 4"/>
        <xdr:cNvSpPr txBox="1">
          <a:spLocks noChangeArrowheads="1"/>
        </xdr:cNvSpPr>
      </xdr:nvSpPr>
      <xdr:spPr bwMode="auto">
        <a:xfrm>
          <a:off x="3905250" y="110794800"/>
          <a:ext cx="762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46" name="Text Box 1"/>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47" name="Text Box 2"/>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48" name="Text Box 3"/>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49" name="Text Box 4"/>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0" name="Text Box 1"/>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1" name="Text Box 2"/>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2" name="Text Box 3"/>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3" name="Text Box 4"/>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4" name="Text Box 1"/>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5" name="Text Box 2"/>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6" name="Text Box 3"/>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7" name="Text Box 4"/>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8" name="Text Box 1"/>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59" name="Text Box 2"/>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60" name="Text Box 3"/>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61" name="Text Box 4"/>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62" name="Text Box 1"/>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63" name="Text Box 2"/>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64" name="Text Box 3"/>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186</xdr:row>
      <xdr:rowOff>9525</xdr:rowOff>
    </xdr:to>
    <xdr:sp macro="" textlink="">
      <xdr:nvSpPr>
        <xdr:cNvPr id="5965" name="Text Box 4"/>
        <xdr:cNvSpPr txBox="1">
          <a:spLocks noChangeArrowheads="1"/>
        </xdr:cNvSpPr>
      </xdr:nvSpPr>
      <xdr:spPr bwMode="auto">
        <a:xfrm>
          <a:off x="3905250" y="110794800"/>
          <a:ext cx="762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978"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979"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980"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981"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990"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991"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992"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5993"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59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0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098"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099"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100"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101"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1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210"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211"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212"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213"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2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3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458"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459"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460"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461"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466"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467"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468"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469"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4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5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69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0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1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2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3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4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5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6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0"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1"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2"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3"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4"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5"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6"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7"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8"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79"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0"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1"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2"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3"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4"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5"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6" name="Text Box 1"/>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7" name="Text Box 2"/>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8" name="Text Box 3"/>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179</xdr:row>
      <xdr:rowOff>152400</xdr:rowOff>
    </xdr:to>
    <xdr:sp macro="" textlink="">
      <xdr:nvSpPr>
        <xdr:cNvPr id="6789" name="Text Box 4"/>
        <xdr:cNvSpPr txBox="1">
          <a:spLocks noChangeArrowheads="1"/>
        </xdr:cNvSpPr>
      </xdr:nvSpPr>
      <xdr:spPr bwMode="auto">
        <a:xfrm>
          <a:off x="3905250" y="110794800"/>
          <a:ext cx="762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0"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1"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2"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3"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4"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5"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6"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7"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8" name="Text Box 1"/>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799" name="Text Box 2"/>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800" name="Text Box 3"/>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177</xdr:row>
      <xdr:rowOff>0</xdr:rowOff>
    </xdr:from>
    <xdr:to>
      <xdr:col>6</xdr:col>
      <xdr:colOff>76200</xdr:colOff>
      <xdr:row>187</xdr:row>
      <xdr:rowOff>142875</xdr:rowOff>
    </xdr:to>
    <xdr:sp macro="" textlink="">
      <xdr:nvSpPr>
        <xdr:cNvPr id="6801" name="Text Box 4"/>
        <xdr:cNvSpPr txBox="1">
          <a:spLocks noChangeArrowheads="1"/>
        </xdr:cNvSpPr>
      </xdr:nvSpPr>
      <xdr:spPr bwMode="auto">
        <a:xfrm>
          <a:off x="3905250" y="110794800"/>
          <a:ext cx="76200" cy="515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02"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03"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04"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05"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06"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07"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08"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09"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10"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11"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12"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13"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14"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15"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16"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17"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18"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19"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20"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21"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26" name="Text Box 1"/>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27" name="Text Box 2"/>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28" name="Text Box 3"/>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29" name="Text Box 4"/>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30"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31"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32"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33"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38"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39"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40"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41"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42"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43"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44"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45"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46" name="Text Box 1"/>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47" name="Text Box 2"/>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48" name="Text Box 3"/>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49" name="Text Box 4"/>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50"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51"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52"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53"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54" name="Text Box 1"/>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55" name="Text Box 2"/>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56" name="Text Box 3"/>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57" name="Text Box 4"/>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58"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59"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60"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861"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6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6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6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6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866" name="Text Box 1"/>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867" name="Text Box 2"/>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868" name="Text Box 3"/>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869" name="Text Box 4"/>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70"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71"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72"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73"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74" name="Text Box 1"/>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75" name="Text Box 2"/>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76" name="Text Box 3"/>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77" name="Text Box 4"/>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82"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83"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84"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85"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86"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87"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88"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89"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90" name="Text Box 1"/>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91" name="Text Box 2"/>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92" name="Text Box 3"/>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123825</xdr:rowOff>
    </xdr:to>
    <xdr:sp macro="" textlink="">
      <xdr:nvSpPr>
        <xdr:cNvPr id="6893" name="Text Box 4"/>
        <xdr:cNvSpPr txBox="1">
          <a:spLocks noChangeArrowheads="1"/>
        </xdr:cNvSpPr>
      </xdr:nvSpPr>
      <xdr:spPr bwMode="auto">
        <a:xfrm>
          <a:off x="3905250" y="121958100"/>
          <a:ext cx="762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94"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95"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96"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897"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8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02" name="Text Box 1"/>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03" name="Text Box 2"/>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04" name="Text Box 3"/>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05" name="Text Box 4"/>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10" name="Text Box 1"/>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11" name="Text Box 2"/>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12" name="Text Box 3"/>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13" name="Text Box 4"/>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914" name="Text Box 1"/>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915" name="Text Box 2"/>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916" name="Text Box 3"/>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76200</xdr:rowOff>
    </xdr:to>
    <xdr:sp macro="" textlink="">
      <xdr:nvSpPr>
        <xdr:cNvPr id="6917" name="Text Box 4"/>
        <xdr:cNvSpPr txBox="1">
          <a:spLocks noChangeArrowheads="1"/>
        </xdr:cNvSpPr>
      </xdr:nvSpPr>
      <xdr:spPr bwMode="auto">
        <a:xfrm>
          <a:off x="3905250" y="121958100"/>
          <a:ext cx="762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18" name="Text Box 1"/>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19" name="Text Box 2"/>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0" name="Text Box 3"/>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1" name="Text Box 4"/>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2" name="Text Box 1"/>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3" name="Text Box 2"/>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4" name="Text Box 3"/>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5" name="Text Box 4"/>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6" name="Text Box 1"/>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7" name="Text Box 2"/>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8" name="Text Box 3"/>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29" name="Text Box 4"/>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30" name="Text Box 1"/>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31" name="Text Box 2"/>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32" name="Text Box 3"/>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33" name="Text Box 4"/>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34" name="Text Box 1"/>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35" name="Text Box 2"/>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36" name="Text Box 3"/>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215</xdr:row>
      <xdr:rowOff>57150</xdr:rowOff>
    </xdr:to>
    <xdr:sp macro="" textlink="">
      <xdr:nvSpPr>
        <xdr:cNvPr id="6937" name="Text Box 4"/>
        <xdr:cNvSpPr txBox="1">
          <a:spLocks noChangeArrowheads="1"/>
        </xdr:cNvSpPr>
      </xdr:nvSpPr>
      <xdr:spPr bwMode="auto">
        <a:xfrm>
          <a:off x="3905250" y="121958100"/>
          <a:ext cx="76200" cy="619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3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3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950"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951"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952"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953"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962"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963"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964"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6965"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6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6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6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6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8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69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1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2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3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6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070"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071"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072"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073"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7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7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7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7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8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0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1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2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3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6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182"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183"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184"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185"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8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8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8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8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1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1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2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3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6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8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2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1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2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3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6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8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3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1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2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430"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431"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432"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433"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438"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439"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440"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441"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6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8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4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1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2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3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6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8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5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1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2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3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6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7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8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69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0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1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2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3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2"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3"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4"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5"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6"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7"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8"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49"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0"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1"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2"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3"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4"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5"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6"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7"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8" name="Text Box 1"/>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59" name="Text Box 2"/>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60" name="Text Box 3"/>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203</xdr:row>
      <xdr:rowOff>190500</xdr:rowOff>
    </xdr:to>
    <xdr:sp macro="" textlink="">
      <xdr:nvSpPr>
        <xdr:cNvPr id="7761" name="Text Box 4"/>
        <xdr:cNvSpPr txBox="1">
          <a:spLocks noChangeArrowheads="1"/>
        </xdr:cNvSpPr>
      </xdr:nvSpPr>
      <xdr:spPr bwMode="auto">
        <a:xfrm>
          <a:off x="3905250" y="121958100"/>
          <a:ext cx="7620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62"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63"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64"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65"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66"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67"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68"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69"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70" name="Text Box 1"/>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71" name="Text Box 2"/>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72" name="Text Box 3"/>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200</xdr:row>
      <xdr:rowOff>0</xdr:rowOff>
    </xdr:from>
    <xdr:to>
      <xdr:col>6</xdr:col>
      <xdr:colOff>76200</xdr:colOff>
      <xdr:row>216</xdr:row>
      <xdr:rowOff>28575</xdr:rowOff>
    </xdr:to>
    <xdr:sp macro="" textlink="">
      <xdr:nvSpPr>
        <xdr:cNvPr id="7773" name="Text Box 4"/>
        <xdr:cNvSpPr txBox="1">
          <a:spLocks noChangeArrowheads="1"/>
        </xdr:cNvSpPr>
      </xdr:nvSpPr>
      <xdr:spPr bwMode="auto">
        <a:xfrm>
          <a:off x="3905250" y="121958100"/>
          <a:ext cx="76200" cy="6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282</xdr:row>
      <xdr:rowOff>0</xdr:rowOff>
    </xdr:from>
    <xdr:to>
      <xdr:col>6</xdr:col>
      <xdr:colOff>76200</xdr:colOff>
      <xdr:row>282</xdr:row>
      <xdr:rowOff>314325</xdr:rowOff>
    </xdr:to>
    <xdr:sp macro="" textlink="">
      <xdr:nvSpPr>
        <xdr:cNvPr id="7774" name="Text Box 1"/>
        <xdr:cNvSpPr txBox="1">
          <a:spLocks noChangeArrowheads="1"/>
        </xdr:cNvSpPr>
      </xdr:nvSpPr>
      <xdr:spPr bwMode="auto">
        <a:xfrm>
          <a:off x="3905250" y="158362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282</xdr:row>
      <xdr:rowOff>0</xdr:rowOff>
    </xdr:from>
    <xdr:to>
      <xdr:col>6</xdr:col>
      <xdr:colOff>76200</xdr:colOff>
      <xdr:row>282</xdr:row>
      <xdr:rowOff>314325</xdr:rowOff>
    </xdr:to>
    <xdr:sp macro="" textlink="">
      <xdr:nvSpPr>
        <xdr:cNvPr id="7775" name="Text Box 2"/>
        <xdr:cNvSpPr txBox="1">
          <a:spLocks noChangeArrowheads="1"/>
        </xdr:cNvSpPr>
      </xdr:nvSpPr>
      <xdr:spPr bwMode="auto">
        <a:xfrm>
          <a:off x="3905250" y="158362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282</xdr:row>
      <xdr:rowOff>0</xdr:rowOff>
    </xdr:from>
    <xdr:to>
      <xdr:col>6</xdr:col>
      <xdr:colOff>76200</xdr:colOff>
      <xdr:row>282</xdr:row>
      <xdr:rowOff>314325</xdr:rowOff>
    </xdr:to>
    <xdr:sp macro="" textlink="">
      <xdr:nvSpPr>
        <xdr:cNvPr id="7776" name="Text Box 3"/>
        <xdr:cNvSpPr txBox="1">
          <a:spLocks noChangeArrowheads="1"/>
        </xdr:cNvSpPr>
      </xdr:nvSpPr>
      <xdr:spPr bwMode="auto">
        <a:xfrm>
          <a:off x="3905250" y="158362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282</xdr:row>
      <xdr:rowOff>0</xdr:rowOff>
    </xdr:from>
    <xdr:to>
      <xdr:col>6</xdr:col>
      <xdr:colOff>76200</xdr:colOff>
      <xdr:row>282</xdr:row>
      <xdr:rowOff>314325</xdr:rowOff>
    </xdr:to>
    <xdr:sp macro="" textlink="">
      <xdr:nvSpPr>
        <xdr:cNvPr id="7777" name="Text Box 4"/>
        <xdr:cNvSpPr txBox="1">
          <a:spLocks noChangeArrowheads="1"/>
        </xdr:cNvSpPr>
      </xdr:nvSpPr>
      <xdr:spPr bwMode="auto">
        <a:xfrm>
          <a:off x="3905250" y="158362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282</xdr:row>
      <xdr:rowOff>0</xdr:rowOff>
    </xdr:from>
    <xdr:to>
      <xdr:col>6</xdr:col>
      <xdr:colOff>76200</xdr:colOff>
      <xdr:row>282</xdr:row>
      <xdr:rowOff>314325</xdr:rowOff>
    </xdr:to>
    <xdr:sp macro="" textlink="">
      <xdr:nvSpPr>
        <xdr:cNvPr id="7778" name="Text Box 1"/>
        <xdr:cNvSpPr txBox="1">
          <a:spLocks noChangeArrowheads="1"/>
        </xdr:cNvSpPr>
      </xdr:nvSpPr>
      <xdr:spPr bwMode="auto">
        <a:xfrm>
          <a:off x="3905250" y="158362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282</xdr:row>
      <xdr:rowOff>0</xdr:rowOff>
    </xdr:from>
    <xdr:to>
      <xdr:col>6</xdr:col>
      <xdr:colOff>76200</xdr:colOff>
      <xdr:row>282</xdr:row>
      <xdr:rowOff>314325</xdr:rowOff>
    </xdr:to>
    <xdr:sp macro="" textlink="">
      <xdr:nvSpPr>
        <xdr:cNvPr id="7779" name="Text Box 2"/>
        <xdr:cNvSpPr txBox="1">
          <a:spLocks noChangeArrowheads="1"/>
        </xdr:cNvSpPr>
      </xdr:nvSpPr>
      <xdr:spPr bwMode="auto">
        <a:xfrm>
          <a:off x="3905250" y="158362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282</xdr:row>
      <xdr:rowOff>0</xdr:rowOff>
    </xdr:from>
    <xdr:to>
      <xdr:col>6</xdr:col>
      <xdr:colOff>76200</xdr:colOff>
      <xdr:row>282</xdr:row>
      <xdr:rowOff>314325</xdr:rowOff>
    </xdr:to>
    <xdr:sp macro="" textlink="">
      <xdr:nvSpPr>
        <xdr:cNvPr id="7780" name="Text Box 3"/>
        <xdr:cNvSpPr txBox="1">
          <a:spLocks noChangeArrowheads="1"/>
        </xdr:cNvSpPr>
      </xdr:nvSpPr>
      <xdr:spPr bwMode="auto">
        <a:xfrm>
          <a:off x="3905250" y="158362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282</xdr:row>
      <xdr:rowOff>0</xdr:rowOff>
    </xdr:from>
    <xdr:to>
      <xdr:col>6</xdr:col>
      <xdr:colOff>76200</xdr:colOff>
      <xdr:row>282</xdr:row>
      <xdr:rowOff>314325</xdr:rowOff>
    </xdr:to>
    <xdr:sp macro="" textlink="">
      <xdr:nvSpPr>
        <xdr:cNvPr id="7781" name="Text Box 4"/>
        <xdr:cNvSpPr txBox="1">
          <a:spLocks noChangeArrowheads="1"/>
        </xdr:cNvSpPr>
      </xdr:nvSpPr>
      <xdr:spPr bwMode="auto">
        <a:xfrm>
          <a:off x="3905250" y="158362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82"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83"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84"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85"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86"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87"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88"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89"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0"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1"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2"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3"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4"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5"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6"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7"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8"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799"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0"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1"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2"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3"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4"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5"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6"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7"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8"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09"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0"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1"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2"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3"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4"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5"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6"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7"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8" name="Text Box 1"/>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19" name="Text Box 2"/>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20" name="Text Box 3"/>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283</xdr:row>
      <xdr:rowOff>0</xdr:rowOff>
    </xdr:from>
    <xdr:to>
      <xdr:col>6</xdr:col>
      <xdr:colOff>76200</xdr:colOff>
      <xdr:row>286</xdr:row>
      <xdr:rowOff>171450</xdr:rowOff>
    </xdr:to>
    <xdr:sp macro="" textlink="">
      <xdr:nvSpPr>
        <xdr:cNvPr id="7821" name="Text Box 4"/>
        <xdr:cNvSpPr txBox="1">
          <a:spLocks noChangeArrowheads="1"/>
        </xdr:cNvSpPr>
      </xdr:nvSpPr>
      <xdr:spPr bwMode="auto">
        <a:xfrm>
          <a:off x="3905250" y="158962725"/>
          <a:ext cx="76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22" name="Text Box 1"/>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23" name="Text Box 2"/>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24" name="Text Box 3"/>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25" name="Text Box 4"/>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26" name="Text Box 1"/>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27" name="Text Box 2"/>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28" name="Text Box 3"/>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29" name="Text Box 4"/>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0"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1"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2"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3"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4"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5"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6"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7"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8"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39"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0"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1"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2"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3"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4"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5"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6"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7"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8"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49"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50"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51"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52"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53"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54" name="Text Box 1"/>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55" name="Text Box 2"/>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56" name="Text Box 3"/>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57" name="Text Box 4"/>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58" name="Text Box 1"/>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59" name="Text Box 2"/>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60" name="Text Box 3"/>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61" name="Text Box 4"/>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62"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63"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64"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65"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66"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67"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68"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69"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70"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71"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72"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73"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74" name="Text Box 1"/>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75" name="Text Box 2"/>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76" name="Text Box 3"/>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288</xdr:row>
      <xdr:rowOff>0</xdr:rowOff>
    </xdr:from>
    <xdr:to>
      <xdr:col>6</xdr:col>
      <xdr:colOff>76200</xdr:colOff>
      <xdr:row>289</xdr:row>
      <xdr:rowOff>314325</xdr:rowOff>
    </xdr:to>
    <xdr:sp macro="" textlink="">
      <xdr:nvSpPr>
        <xdr:cNvPr id="7877" name="Text Box 4"/>
        <xdr:cNvSpPr txBox="1">
          <a:spLocks noChangeArrowheads="1"/>
        </xdr:cNvSpPr>
      </xdr:nvSpPr>
      <xdr:spPr bwMode="auto">
        <a:xfrm>
          <a:off x="3905250" y="161991675"/>
          <a:ext cx="76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78" name="Text Box 1"/>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79" name="Text Box 2"/>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80" name="Text Box 3"/>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287</xdr:row>
      <xdr:rowOff>0</xdr:rowOff>
    </xdr:from>
    <xdr:to>
      <xdr:col>6</xdr:col>
      <xdr:colOff>76200</xdr:colOff>
      <xdr:row>287</xdr:row>
      <xdr:rowOff>514350</xdr:rowOff>
    </xdr:to>
    <xdr:sp macro="" textlink="">
      <xdr:nvSpPr>
        <xdr:cNvPr id="7881" name="Text Box 4"/>
        <xdr:cNvSpPr txBox="1">
          <a:spLocks noChangeArrowheads="1"/>
        </xdr:cNvSpPr>
      </xdr:nvSpPr>
      <xdr:spPr bwMode="auto">
        <a:xfrm>
          <a:off x="3905250" y="161391600"/>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82" name="Text Box 1"/>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83" name="Text Box 2"/>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84" name="Text Box 3"/>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85" name="Text Box 4"/>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86" name="Text Box 1"/>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87" name="Text Box 2"/>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88" name="Text Box 3"/>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89" name="Text Box 4"/>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90" name="Text Box 1"/>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91" name="Text Box 2"/>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92" name="Text Box 3"/>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170</xdr:row>
      <xdr:rowOff>0</xdr:rowOff>
    </xdr:from>
    <xdr:to>
      <xdr:col>6</xdr:col>
      <xdr:colOff>76200</xdr:colOff>
      <xdr:row>170</xdr:row>
      <xdr:rowOff>447675</xdr:rowOff>
    </xdr:to>
    <xdr:sp macro="" textlink="">
      <xdr:nvSpPr>
        <xdr:cNvPr id="7893" name="Text Box 4"/>
        <xdr:cNvSpPr txBox="1">
          <a:spLocks noChangeArrowheads="1"/>
        </xdr:cNvSpPr>
      </xdr:nvSpPr>
      <xdr:spPr bwMode="auto">
        <a:xfrm>
          <a:off x="3905250" y="10759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894"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895"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896"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897"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898"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899"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00"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01"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02"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03"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04"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05"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06"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07"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08"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09"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0"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1"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2"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3"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4"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5"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6"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7"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8"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19"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0"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1"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2"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3"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4"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5"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6"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7"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8"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29"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0"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1"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2"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3"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4"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5"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6"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7"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8"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39"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0"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1"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2"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3"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4"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5"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6"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7"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8"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49"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50" name="Text Box 1"/>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51" name="Text Box 2"/>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52" name="Text Box 3"/>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193</xdr:row>
      <xdr:rowOff>704850</xdr:rowOff>
    </xdr:to>
    <xdr:sp macro="" textlink="">
      <xdr:nvSpPr>
        <xdr:cNvPr id="7953" name="Text Box 4"/>
        <xdr:cNvSpPr txBox="1">
          <a:spLocks noChangeArrowheads="1"/>
        </xdr:cNvSpPr>
      </xdr:nvSpPr>
      <xdr:spPr bwMode="auto">
        <a:xfrm>
          <a:off x="3905250" y="117805200"/>
          <a:ext cx="76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54"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55"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56"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57"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58"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59"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60"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61"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66" name="Text Box 1"/>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67" name="Text Box 2"/>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68" name="Text Box 3"/>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69" name="Text Box 4"/>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70"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71"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72"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73"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78" name="Text Box 1"/>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79" name="Text Box 2"/>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80" name="Text Box 3"/>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81" name="Text Box 4"/>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82"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83"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84"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85"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86" name="Text Box 1"/>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87" name="Text Box 2"/>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88" name="Text Box 3"/>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89" name="Text Box 4"/>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79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94"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95"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96"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7997"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98" name="Text Box 1"/>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7999" name="Text Box 2"/>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8000" name="Text Box 3"/>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8001" name="Text Box 4"/>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06"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07"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08"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09"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10"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11"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12"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13"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8014" name="Text Box 1"/>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8015" name="Text Box 2"/>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8016" name="Text Box 3"/>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76200</xdr:rowOff>
    </xdr:to>
    <xdr:sp macro="" textlink="">
      <xdr:nvSpPr>
        <xdr:cNvPr id="8017" name="Text Box 4"/>
        <xdr:cNvSpPr txBox="1">
          <a:spLocks noChangeArrowheads="1"/>
        </xdr:cNvSpPr>
      </xdr:nvSpPr>
      <xdr:spPr bwMode="auto">
        <a:xfrm>
          <a:off x="3905250" y="117805200"/>
          <a:ext cx="76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18"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19"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20"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21"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30" name="Text Box 1"/>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31" name="Text Box 2"/>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32" name="Text Box 3"/>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28575</xdr:rowOff>
    </xdr:to>
    <xdr:sp macro="" textlink="">
      <xdr:nvSpPr>
        <xdr:cNvPr id="8033" name="Text Box 4"/>
        <xdr:cNvSpPr txBox="1">
          <a:spLocks noChangeArrowheads="1"/>
        </xdr:cNvSpPr>
      </xdr:nvSpPr>
      <xdr:spPr bwMode="auto">
        <a:xfrm>
          <a:off x="3905250" y="117805200"/>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3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3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3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3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3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3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4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5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6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7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8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09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0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1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3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4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5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6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7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8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19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0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1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3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4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5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6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7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8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29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0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1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3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4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5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6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7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8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39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0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1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3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4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5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6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7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8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49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0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1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3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4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5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6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7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8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59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0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1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3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4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5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6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7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8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69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0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1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3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4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5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6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7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8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79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0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4"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5"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6"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7"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8"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19"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0"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1"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2"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3"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4"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5"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6"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7"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8"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29"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30" name="Text Box 1"/>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31" name="Text Box 2"/>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32" name="Text Box 3"/>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193</xdr:row>
      <xdr:rowOff>0</xdr:rowOff>
    </xdr:from>
    <xdr:to>
      <xdr:col>6</xdr:col>
      <xdr:colOff>76200</xdr:colOff>
      <xdr:row>195</xdr:row>
      <xdr:rowOff>142875</xdr:rowOff>
    </xdr:to>
    <xdr:sp macro="" textlink="">
      <xdr:nvSpPr>
        <xdr:cNvPr id="8833" name="Text Box 4"/>
        <xdr:cNvSpPr txBox="1">
          <a:spLocks noChangeArrowheads="1"/>
        </xdr:cNvSpPr>
      </xdr:nvSpPr>
      <xdr:spPr bwMode="auto">
        <a:xfrm>
          <a:off x="3905250" y="117805200"/>
          <a:ext cx="762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172"/>
  <sheetViews>
    <sheetView tabSelected="1" topLeftCell="A157" zoomScaleNormal="100" workbookViewId="0">
      <selection activeCell="K161" sqref="K161"/>
    </sheetView>
  </sheetViews>
  <sheetFormatPr defaultRowHeight="15.75"/>
  <cols>
    <col min="1" max="1" width="3.85546875" style="10" customWidth="1"/>
    <col min="2" max="2" width="5.28515625" style="9" customWidth="1"/>
    <col min="3" max="3" width="26.7109375" style="1" customWidth="1"/>
    <col min="4" max="4" width="8.7109375" style="8" customWidth="1"/>
    <col min="5" max="5" width="6.140625" style="6" customWidth="1"/>
    <col min="6" max="6" width="7.85546875" style="7" customWidth="1"/>
    <col min="7" max="7" width="13.7109375" style="6" customWidth="1"/>
    <col min="8" max="8" width="7" style="6" customWidth="1"/>
    <col min="9" max="9" width="0.140625" style="6" customWidth="1"/>
    <col min="10" max="10" width="20" style="5" customWidth="1"/>
    <col min="11" max="11" width="29.28515625" style="4" customWidth="1"/>
    <col min="12" max="12" width="29.28515625" style="3" customWidth="1"/>
    <col min="13" max="13" width="26.7109375" style="1" customWidth="1"/>
    <col min="14" max="14" width="17" style="2" customWidth="1"/>
    <col min="15" max="15" width="9.140625" style="1"/>
    <col min="16" max="16" width="12.42578125" style="1" bestFit="1" customWidth="1"/>
    <col min="17" max="16384" width="9.140625" style="1"/>
  </cols>
  <sheetData>
    <row r="1" spans="1:14" s="220" customFormat="1" ht="105" customHeight="1">
      <c r="A1" s="300" t="s">
        <v>333</v>
      </c>
      <c r="B1" s="300"/>
      <c r="C1" s="300"/>
      <c r="D1" s="300"/>
      <c r="E1" s="300"/>
      <c r="F1" s="300"/>
      <c r="G1" s="300"/>
      <c r="H1" s="300"/>
      <c r="I1" s="300"/>
      <c r="J1" s="300"/>
      <c r="K1" s="223"/>
      <c r="L1" s="3"/>
      <c r="N1" s="221"/>
    </row>
    <row r="2" spans="1:14" s="220" customFormat="1" ht="46.5" customHeight="1">
      <c r="A2" s="301" t="s">
        <v>332</v>
      </c>
      <c r="B2" s="301"/>
      <c r="C2" s="301"/>
      <c r="D2" s="301"/>
      <c r="E2" s="301"/>
      <c r="F2" s="301"/>
      <c r="G2" s="301"/>
      <c r="H2" s="301"/>
      <c r="I2" s="301"/>
      <c r="J2" s="301"/>
      <c r="K2" s="223"/>
      <c r="L2" s="3"/>
      <c r="N2" s="221"/>
    </row>
    <row r="3" spans="1:14" s="220" customFormat="1" ht="18" customHeight="1">
      <c r="A3" s="302" t="s">
        <v>331</v>
      </c>
      <c r="B3" s="302" t="s">
        <v>330</v>
      </c>
      <c r="C3" s="303" t="s">
        <v>329</v>
      </c>
      <c r="D3" s="303" t="s">
        <v>328</v>
      </c>
      <c r="E3" s="304" t="s">
        <v>327</v>
      </c>
      <c r="F3" s="305" t="s">
        <v>326</v>
      </c>
      <c r="G3" s="305"/>
      <c r="H3" s="305"/>
      <c r="I3" s="305"/>
      <c r="J3" s="305"/>
      <c r="K3" s="223"/>
      <c r="L3" s="3"/>
      <c r="N3" s="221"/>
    </row>
    <row r="4" spans="1:14" s="220" customFormat="1" ht="64.5" customHeight="1">
      <c r="A4" s="302"/>
      <c r="B4" s="302"/>
      <c r="C4" s="303"/>
      <c r="D4" s="303"/>
      <c r="E4" s="304"/>
      <c r="F4" s="238" t="s">
        <v>325</v>
      </c>
      <c r="G4" s="237" t="s">
        <v>324</v>
      </c>
      <c r="H4" s="236" t="s">
        <v>323</v>
      </c>
      <c r="I4" s="236" t="s">
        <v>322</v>
      </c>
      <c r="J4" s="235" t="s">
        <v>321</v>
      </c>
      <c r="K4" s="223"/>
      <c r="L4" s="234" t="s">
        <v>320</v>
      </c>
      <c r="M4" s="233" t="s">
        <v>319</v>
      </c>
      <c r="N4" s="221"/>
    </row>
    <row r="5" spans="1:14" s="220" customFormat="1" ht="19.5" customHeight="1">
      <c r="A5" s="232">
        <v>1</v>
      </c>
      <c r="B5" s="231">
        <v>1</v>
      </c>
      <c r="C5" s="230" t="s">
        <v>318</v>
      </c>
      <c r="D5" s="229" t="s">
        <v>317</v>
      </c>
      <c r="E5" s="228">
        <v>4</v>
      </c>
      <c r="F5" s="227">
        <v>5</v>
      </c>
      <c r="G5" s="226" t="s">
        <v>316</v>
      </c>
      <c r="H5" s="225">
        <v>7</v>
      </c>
      <c r="I5" s="225">
        <v>8</v>
      </c>
      <c r="J5" s="224" t="s">
        <v>315</v>
      </c>
      <c r="K5" s="223"/>
      <c r="L5" s="3"/>
      <c r="M5" s="222"/>
      <c r="N5" s="221"/>
    </row>
    <row r="6" spans="1:14" s="53" customFormat="1" ht="33.75" customHeight="1">
      <c r="A6" s="62">
        <v>1</v>
      </c>
      <c r="B6" s="41">
        <v>71</v>
      </c>
      <c r="C6" s="297" t="s">
        <v>314</v>
      </c>
      <c r="D6" s="297"/>
      <c r="E6" s="297"/>
      <c r="F6" s="297"/>
      <c r="G6" s="297"/>
      <c r="H6" s="297"/>
      <c r="I6" s="108"/>
      <c r="J6" s="199">
        <f>SUM(J7:J13)</f>
        <v>4728000</v>
      </c>
      <c r="K6" s="219">
        <f t="shared" ref="K6:K37" si="0">ROUND(F6*G6*H6*I6,-3)</f>
        <v>0</v>
      </c>
    </row>
    <row r="7" spans="1:14" s="53" customFormat="1" ht="73.5" customHeight="1">
      <c r="A7" s="62"/>
      <c r="B7" s="61"/>
      <c r="C7" s="198" t="s">
        <v>200</v>
      </c>
      <c r="D7" s="197"/>
      <c r="E7" s="196"/>
      <c r="F7" s="195"/>
      <c r="G7" s="194"/>
      <c r="H7" s="193"/>
      <c r="I7" s="192"/>
      <c r="J7" s="191">
        <f>ROUND(F7*G7*H7*I7,-3)</f>
        <v>0</v>
      </c>
      <c r="K7" s="33">
        <f t="shared" si="0"/>
        <v>0</v>
      </c>
    </row>
    <row r="8" spans="1:14" s="53" customFormat="1" ht="33.75">
      <c r="A8" s="62"/>
      <c r="B8" s="61"/>
      <c r="C8" s="60" t="s">
        <v>313</v>
      </c>
      <c r="D8" s="150" t="s">
        <v>172</v>
      </c>
      <c r="E8" s="138" t="s">
        <v>387</v>
      </c>
      <c r="F8" s="137">
        <f>0.3*0.3*2.2*2</f>
        <v>0.39600000000000002</v>
      </c>
      <c r="G8" s="344">
        <v>2828000</v>
      </c>
      <c r="H8" s="55">
        <v>0.4</v>
      </c>
      <c r="I8" s="320">
        <v>1</v>
      </c>
      <c r="J8" s="134">
        <f>ROUND((F8*G8*H8*I8),-3)</f>
        <v>448000</v>
      </c>
      <c r="K8" s="314">
        <f t="shared" si="0"/>
        <v>448000</v>
      </c>
    </row>
    <row r="9" spans="1:14" s="329" customFormat="1" ht="65.25" customHeight="1">
      <c r="A9" s="108"/>
      <c r="B9" s="108"/>
      <c r="C9" s="322" t="s">
        <v>170</v>
      </c>
      <c r="D9" s="323" t="s">
        <v>169</v>
      </c>
      <c r="E9" s="324" t="s">
        <v>168</v>
      </c>
      <c r="F9" s="325">
        <v>1</v>
      </c>
      <c r="G9" s="344">
        <f>J8</f>
        <v>448000</v>
      </c>
      <c r="H9" s="326">
        <v>0.3</v>
      </c>
      <c r="I9" s="327">
        <v>1</v>
      </c>
      <c r="J9" s="328">
        <f>ROUND(F9*G9*H9*I9,-3)</f>
        <v>134000</v>
      </c>
      <c r="K9" s="314">
        <f t="shared" si="0"/>
        <v>134000</v>
      </c>
    </row>
    <row r="10" spans="1:14" s="53" customFormat="1" ht="33.75">
      <c r="A10" s="62"/>
      <c r="B10" s="61"/>
      <c r="C10" s="60" t="s">
        <v>312</v>
      </c>
      <c r="D10" s="59" t="s">
        <v>12</v>
      </c>
      <c r="E10" s="58" t="s">
        <v>384</v>
      </c>
      <c r="F10" s="57">
        <f>2.9*1.8+3.1*0.6</f>
        <v>7.08</v>
      </c>
      <c r="G10" s="344">
        <v>792000</v>
      </c>
      <c r="H10" s="55">
        <v>0.4</v>
      </c>
      <c r="I10" s="320">
        <v>1</v>
      </c>
      <c r="J10" s="54">
        <f>ROUND(F10*G10*H10*I10,-3)</f>
        <v>2243000</v>
      </c>
      <c r="K10" s="314">
        <f t="shared" si="0"/>
        <v>2243000</v>
      </c>
    </row>
    <row r="11" spans="1:14" s="329" customFormat="1" ht="65.25" customHeight="1">
      <c r="A11" s="108"/>
      <c r="B11" s="108"/>
      <c r="C11" s="322" t="s">
        <v>170</v>
      </c>
      <c r="D11" s="323" t="s">
        <v>169</v>
      </c>
      <c r="E11" s="324" t="s">
        <v>168</v>
      </c>
      <c r="F11" s="325">
        <v>1</v>
      </c>
      <c r="G11" s="344">
        <f>J10</f>
        <v>2243000</v>
      </c>
      <c r="H11" s="326">
        <v>0.3</v>
      </c>
      <c r="I11" s="327">
        <v>1</v>
      </c>
      <c r="J11" s="328">
        <f>ROUND(F11*G11*H11*I11,-3)</f>
        <v>673000</v>
      </c>
      <c r="K11" s="314">
        <f t="shared" si="0"/>
        <v>673000</v>
      </c>
    </row>
    <row r="12" spans="1:14" s="53" customFormat="1" ht="33.75">
      <c r="A12" s="62"/>
      <c r="B12" s="61"/>
      <c r="C12" s="155" t="s">
        <v>311</v>
      </c>
      <c r="D12" s="158" t="s">
        <v>310</v>
      </c>
      <c r="E12" s="138" t="s">
        <v>388</v>
      </c>
      <c r="F12" s="168">
        <f>2.9*0.25+3.1*1.45</f>
        <v>5.22</v>
      </c>
      <c r="G12" s="344">
        <v>453000</v>
      </c>
      <c r="H12" s="152">
        <v>0.4</v>
      </c>
      <c r="I12" s="320">
        <v>1</v>
      </c>
      <c r="J12" s="142">
        <f>ROUND((F12*G12*H12*I12),-3)</f>
        <v>946000</v>
      </c>
      <c r="K12" s="314">
        <f t="shared" si="0"/>
        <v>946000</v>
      </c>
    </row>
    <row r="13" spans="1:14" s="329" customFormat="1" ht="65.25" customHeight="1">
      <c r="A13" s="108"/>
      <c r="B13" s="108"/>
      <c r="C13" s="322" t="s">
        <v>170</v>
      </c>
      <c r="D13" s="323" t="s">
        <v>169</v>
      </c>
      <c r="E13" s="324" t="s">
        <v>168</v>
      </c>
      <c r="F13" s="325">
        <v>1</v>
      </c>
      <c r="G13" s="344">
        <f>J12</f>
        <v>946000</v>
      </c>
      <c r="H13" s="326">
        <v>0.3</v>
      </c>
      <c r="I13" s="327">
        <v>1</v>
      </c>
      <c r="J13" s="328">
        <f>ROUND(F13*G13*H13*I13,-3)</f>
        <v>284000</v>
      </c>
      <c r="K13" s="314">
        <f t="shared" si="0"/>
        <v>284000</v>
      </c>
    </row>
    <row r="14" spans="1:14" s="98" customFormat="1" ht="42" customHeight="1">
      <c r="A14" s="108">
        <v>2</v>
      </c>
      <c r="B14" s="108">
        <v>11</v>
      </c>
      <c r="C14" s="297" t="s">
        <v>309</v>
      </c>
      <c r="D14" s="297"/>
      <c r="E14" s="297"/>
      <c r="F14" s="297"/>
      <c r="G14" s="297"/>
      <c r="H14" s="297"/>
      <c r="I14" s="108"/>
      <c r="J14" s="315">
        <f>SUM(J16:J48)</f>
        <v>863345000</v>
      </c>
      <c r="K14" s="314">
        <f t="shared" si="0"/>
        <v>0</v>
      </c>
      <c r="L14" s="99"/>
      <c r="M14" s="99"/>
    </row>
    <row r="15" spans="1:14" s="53" customFormat="1" ht="73.5" customHeight="1">
      <c r="A15" s="62"/>
      <c r="B15" s="61"/>
      <c r="C15" s="198" t="s">
        <v>200</v>
      </c>
      <c r="D15" s="197"/>
      <c r="E15" s="196"/>
      <c r="F15" s="195"/>
      <c r="G15" s="194"/>
      <c r="H15" s="193"/>
      <c r="I15" s="192"/>
      <c r="J15" s="191">
        <f t="shared" ref="J15:J48" si="1">ROUND(F15*G15*H15*I15,-3)</f>
        <v>0</v>
      </c>
      <c r="K15" s="314">
        <f t="shared" si="0"/>
        <v>0</v>
      </c>
    </row>
    <row r="16" spans="1:14" s="98" customFormat="1" ht="110.25">
      <c r="A16" s="108"/>
      <c r="B16" s="108"/>
      <c r="C16" s="107" t="s">
        <v>308</v>
      </c>
      <c r="D16" s="58" t="s">
        <v>307</v>
      </c>
      <c r="E16" s="316" t="s">
        <v>384</v>
      </c>
      <c r="F16" s="317">
        <f>13.8*7.7+13.8*7.7+13.8*7.7</f>
        <v>318.78000000000003</v>
      </c>
      <c r="G16" s="318">
        <v>4735000</v>
      </c>
      <c r="H16" s="319">
        <v>0.4</v>
      </c>
      <c r="I16" s="320">
        <v>1</v>
      </c>
      <c r="J16" s="321">
        <f t="shared" si="1"/>
        <v>603769000</v>
      </c>
      <c r="K16" s="314">
        <f t="shared" si="0"/>
        <v>603769000</v>
      </c>
      <c r="L16" s="99"/>
      <c r="M16" s="99"/>
    </row>
    <row r="17" spans="1:13" s="329" customFormat="1" ht="65.25" customHeight="1">
      <c r="A17" s="108"/>
      <c r="B17" s="108"/>
      <c r="C17" s="322" t="s">
        <v>170</v>
      </c>
      <c r="D17" s="323" t="s">
        <v>169</v>
      </c>
      <c r="E17" s="324" t="s">
        <v>168</v>
      </c>
      <c r="F17" s="325">
        <v>1</v>
      </c>
      <c r="G17" s="318">
        <f>J16</f>
        <v>603769000</v>
      </c>
      <c r="H17" s="326">
        <v>0.3</v>
      </c>
      <c r="I17" s="327">
        <v>1</v>
      </c>
      <c r="J17" s="328">
        <f t="shared" si="1"/>
        <v>181131000</v>
      </c>
      <c r="K17" s="314">
        <f t="shared" si="0"/>
        <v>181131000</v>
      </c>
    </row>
    <row r="18" spans="1:13" s="98" customFormat="1" ht="63">
      <c r="A18" s="108"/>
      <c r="B18" s="108"/>
      <c r="C18" s="107" t="s">
        <v>306</v>
      </c>
      <c r="D18" s="330" t="s">
        <v>305</v>
      </c>
      <c r="E18" s="316" t="s">
        <v>384</v>
      </c>
      <c r="F18" s="105">
        <f xml:space="preserve"> 16*1.35</f>
        <v>21.6</v>
      </c>
      <c r="G18" s="318">
        <v>339000</v>
      </c>
      <c r="H18" s="331">
        <v>0.4</v>
      </c>
      <c r="I18" s="320">
        <v>1</v>
      </c>
      <c r="J18" s="332">
        <f t="shared" si="1"/>
        <v>2929000</v>
      </c>
      <c r="K18" s="314">
        <f t="shared" si="0"/>
        <v>2929000</v>
      </c>
      <c r="L18" s="99"/>
      <c r="M18" s="99"/>
    </row>
    <row r="19" spans="1:13" s="329" customFormat="1" ht="65.25" customHeight="1">
      <c r="A19" s="108"/>
      <c r="B19" s="108"/>
      <c r="C19" s="322" t="s">
        <v>170</v>
      </c>
      <c r="D19" s="323" t="s">
        <v>169</v>
      </c>
      <c r="E19" s="324" t="s">
        <v>168</v>
      </c>
      <c r="F19" s="325">
        <v>1</v>
      </c>
      <c r="G19" s="318">
        <f>J18</f>
        <v>2929000</v>
      </c>
      <c r="H19" s="326">
        <v>0.3</v>
      </c>
      <c r="I19" s="327">
        <v>1</v>
      </c>
      <c r="J19" s="328">
        <f t="shared" si="1"/>
        <v>879000</v>
      </c>
      <c r="K19" s="314">
        <f t="shared" si="0"/>
        <v>879000</v>
      </c>
    </row>
    <row r="20" spans="1:13" s="98" customFormat="1" ht="47.25">
      <c r="A20" s="108"/>
      <c r="B20" s="108"/>
      <c r="C20" s="107" t="s">
        <v>304</v>
      </c>
      <c r="D20" s="58" t="s">
        <v>45</v>
      </c>
      <c r="E20" s="316" t="s">
        <v>384</v>
      </c>
      <c r="F20" s="317">
        <f xml:space="preserve"> 4.7*2+2.5*2+18*1.6+5*0.3</f>
        <v>44.7</v>
      </c>
      <c r="G20" s="318">
        <v>792000</v>
      </c>
      <c r="H20" s="319">
        <v>0.4</v>
      </c>
      <c r="I20" s="320">
        <v>1</v>
      </c>
      <c r="J20" s="321">
        <f t="shared" si="1"/>
        <v>14161000</v>
      </c>
      <c r="K20" s="314">
        <f t="shared" si="0"/>
        <v>14161000</v>
      </c>
      <c r="L20" s="99"/>
      <c r="M20" s="99"/>
    </row>
    <row r="21" spans="1:13" s="329" customFormat="1" ht="65.25" customHeight="1">
      <c r="A21" s="108"/>
      <c r="B21" s="108"/>
      <c r="C21" s="322" t="s">
        <v>170</v>
      </c>
      <c r="D21" s="323" t="s">
        <v>169</v>
      </c>
      <c r="E21" s="324" t="s">
        <v>168</v>
      </c>
      <c r="F21" s="325">
        <v>1</v>
      </c>
      <c r="G21" s="318">
        <f>J20</f>
        <v>14161000</v>
      </c>
      <c r="H21" s="326">
        <v>0.3</v>
      </c>
      <c r="I21" s="327">
        <v>1</v>
      </c>
      <c r="J21" s="328">
        <f t="shared" si="1"/>
        <v>4248000</v>
      </c>
      <c r="K21" s="314">
        <f t="shared" si="0"/>
        <v>4248000</v>
      </c>
    </row>
    <row r="22" spans="1:13" s="98" customFormat="1" ht="47.25">
      <c r="A22" s="108"/>
      <c r="B22" s="108"/>
      <c r="C22" s="107" t="s">
        <v>303</v>
      </c>
      <c r="D22" s="330" t="s">
        <v>19</v>
      </c>
      <c r="E22" s="316" t="s">
        <v>384</v>
      </c>
      <c r="F22" s="105">
        <f>7.9*8.3</f>
        <v>65.570000000000007</v>
      </c>
      <c r="G22" s="318">
        <v>453000</v>
      </c>
      <c r="H22" s="319">
        <v>0.4</v>
      </c>
      <c r="I22" s="320">
        <v>1</v>
      </c>
      <c r="J22" s="321">
        <f t="shared" si="1"/>
        <v>11881000</v>
      </c>
      <c r="K22" s="314">
        <f t="shared" si="0"/>
        <v>11881000</v>
      </c>
      <c r="L22" s="99"/>
      <c r="M22" s="99"/>
    </row>
    <row r="23" spans="1:13" s="329" customFormat="1" ht="65.25" customHeight="1">
      <c r="A23" s="108"/>
      <c r="B23" s="108"/>
      <c r="C23" s="322" t="s">
        <v>170</v>
      </c>
      <c r="D23" s="323" t="s">
        <v>169</v>
      </c>
      <c r="E23" s="324" t="s">
        <v>168</v>
      </c>
      <c r="F23" s="325">
        <v>1</v>
      </c>
      <c r="G23" s="318">
        <f>J22</f>
        <v>11881000</v>
      </c>
      <c r="H23" s="326">
        <v>0.3</v>
      </c>
      <c r="I23" s="327">
        <v>1</v>
      </c>
      <c r="J23" s="328">
        <f t="shared" si="1"/>
        <v>3564000</v>
      </c>
      <c r="K23" s="314">
        <f t="shared" si="0"/>
        <v>3564000</v>
      </c>
    </row>
    <row r="24" spans="1:13" s="98" customFormat="1" ht="47.25">
      <c r="A24" s="108"/>
      <c r="B24" s="108"/>
      <c r="C24" s="107" t="s">
        <v>302</v>
      </c>
      <c r="D24" s="330" t="s">
        <v>64</v>
      </c>
      <c r="E24" s="316" t="s">
        <v>384</v>
      </c>
      <c r="F24" s="105">
        <f>7.7*10+5.6*4.5</f>
        <v>102.2</v>
      </c>
      <c r="G24" s="318">
        <v>339000</v>
      </c>
      <c r="H24" s="331">
        <v>0.4</v>
      </c>
      <c r="I24" s="320">
        <v>1</v>
      </c>
      <c r="J24" s="321">
        <f t="shared" si="1"/>
        <v>13858000</v>
      </c>
      <c r="K24" s="314">
        <f t="shared" si="0"/>
        <v>13858000</v>
      </c>
      <c r="L24" s="99"/>
      <c r="M24" s="99"/>
    </row>
    <row r="25" spans="1:13" s="329" customFormat="1" ht="65.25" customHeight="1">
      <c r="A25" s="108"/>
      <c r="B25" s="108"/>
      <c r="C25" s="322" t="s">
        <v>170</v>
      </c>
      <c r="D25" s="323" t="s">
        <v>169</v>
      </c>
      <c r="E25" s="324" t="s">
        <v>168</v>
      </c>
      <c r="F25" s="325">
        <v>1</v>
      </c>
      <c r="G25" s="318">
        <f>J24</f>
        <v>13858000</v>
      </c>
      <c r="H25" s="326">
        <v>0.3</v>
      </c>
      <c r="I25" s="327">
        <v>1</v>
      </c>
      <c r="J25" s="328">
        <f t="shared" si="1"/>
        <v>4157000</v>
      </c>
      <c r="K25" s="314">
        <f t="shared" si="0"/>
        <v>4157000</v>
      </c>
    </row>
    <row r="26" spans="1:13" s="98" customFormat="1" ht="47.25">
      <c r="A26" s="108"/>
      <c r="B26" s="108"/>
      <c r="C26" s="107" t="s">
        <v>301</v>
      </c>
      <c r="D26" s="58" t="s">
        <v>248</v>
      </c>
      <c r="E26" s="333" t="s">
        <v>385</v>
      </c>
      <c r="F26" s="334">
        <f>(7.5+4.5)*1.5</f>
        <v>18</v>
      </c>
      <c r="G26" s="318">
        <v>236000</v>
      </c>
      <c r="H26" s="335">
        <v>0.4</v>
      </c>
      <c r="I26" s="320">
        <v>1</v>
      </c>
      <c r="J26" s="336">
        <f t="shared" si="1"/>
        <v>1699000</v>
      </c>
      <c r="K26" s="314">
        <f t="shared" si="0"/>
        <v>1699000</v>
      </c>
      <c r="L26" s="99"/>
      <c r="M26" s="99"/>
    </row>
    <row r="27" spans="1:13" s="329" customFormat="1" ht="65.25" customHeight="1">
      <c r="A27" s="108"/>
      <c r="B27" s="108"/>
      <c r="C27" s="322" t="s">
        <v>170</v>
      </c>
      <c r="D27" s="323" t="s">
        <v>169</v>
      </c>
      <c r="E27" s="324" t="s">
        <v>168</v>
      </c>
      <c r="F27" s="325">
        <v>1</v>
      </c>
      <c r="G27" s="318">
        <f>J26</f>
        <v>1699000</v>
      </c>
      <c r="H27" s="326">
        <v>0.3</v>
      </c>
      <c r="I27" s="327">
        <v>1</v>
      </c>
      <c r="J27" s="328">
        <f t="shared" si="1"/>
        <v>510000</v>
      </c>
      <c r="K27" s="314">
        <f t="shared" si="0"/>
        <v>510000</v>
      </c>
    </row>
    <row r="28" spans="1:13" s="98" customFormat="1" ht="47.25">
      <c r="A28" s="108"/>
      <c r="B28" s="108"/>
      <c r="C28" s="107" t="s">
        <v>299</v>
      </c>
      <c r="D28" s="337" t="s">
        <v>17</v>
      </c>
      <c r="E28" s="338" t="s">
        <v>384</v>
      </c>
      <c r="F28" s="339">
        <f>4.2*1.85+4.8*1.4</f>
        <v>14.49</v>
      </c>
      <c r="G28" s="318">
        <v>215000</v>
      </c>
      <c r="H28" s="340">
        <v>0.4</v>
      </c>
      <c r="I28" s="320">
        <v>1</v>
      </c>
      <c r="J28" s="341">
        <f t="shared" si="1"/>
        <v>1246000</v>
      </c>
      <c r="K28" s="314">
        <f t="shared" si="0"/>
        <v>1246000</v>
      </c>
      <c r="L28" s="99"/>
      <c r="M28" s="99"/>
    </row>
    <row r="29" spans="1:13" s="329" customFormat="1" ht="65.25" customHeight="1">
      <c r="A29" s="108"/>
      <c r="B29" s="108"/>
      <c r="C29" s="322" t="s">
        <v>170</v>
      </c>
      <c r="D29" s="323" t="s">
        <v>169</v>
      </c>
      <c r="E29" s="324" t="s">
        <v>168</v>
      </c>
      <c r="F29" s="325">
        <v>1</v>
      </c>
      <c r="G29" s="318">
        <f>J28</f>
        <v>1246000</v>
      </c>
      <c r="H29" s="326">
        <v>0.3</v>
      </c>
      <c r="I29" s="327">
        <v>1</v>
      </c>
      <c r="J29" s="328">
        <f t="shared" si="1"/>
        <v>374000</v>
      </c>
      <c r="K29" s="314">
        <f t="shared" si="0"/>
        <v>374000</v>
      </c>
    </row>
    <row r="30" spans="1:13" s="98" customFormat="1" ht="63">
      <c r="A30" s="108"/>
      <c r="B30" s="108"/>
      <c r="C30" s="107" t="s">
        <v>298</v>
      </c>
      <c r="D30" s="58" t="s">
        <v>43</v>
      </c>
      <c r="E30" s="316" t="s">
        <v>386</v>
      </c>
      <c r="F30" s="317">
        <f>0.3*0.3*2.8</f>
        <v>0.252</v>
      </c>
      <c r="G30" s="318">
        <v>2828000</v>
      </c>
      <c r="H30" s="319">
        <v>0.4</v>
      </c>
      <c r="I30" s="320">
        <v>1</v>
      </c>
      <c r="J30" s="321">
        <f t="shared" si="1"/>
        <v>285000</v>
      </c>
      <c r="K30" s="314">
        <f t="shared" si="0"/>
        <v>285000</v>
      </c>
      <c r="L30" s="99"/>
      <c r="M30" s="99"/>
    </row>
    <row r="31" spans="1:13" s="329" customFormat="1" ht="65.25" customHeight="1">
      <c r="A31" s="108"/>
      <c r="B31" s="108"/>
      <c r="C31" s="322" t="s">
        <v>170</v>
      </c>
      <c r="D31" s="323" t="s">
        <v>169</v>
      </c>
      <c r="E31" s="324" t="s">
        <v>168</v>
      </c>
      <c r="F31" s="325">
        <v>1</v>
      </c>
      <c r="G31" s="318">
        <f>J30</f>
        <v>285000</v>
      </c>
      <c r="H31" s="326">
        <v>0.3</v>
      </c>
      <c r="I31" s="327">
        <v>1</v>
      </c>
      <c r="J31" s="328">
        <f t="shared" si="1"/>
        <v>86000</v>
      </c>
      <c r="K31" s="314">
        <f t="shared" si="0"/>
        <v>86000</v>
      </c>
    </row>
    <row r="32" spans="1:13" s="98" customFormat="1" ht="63">
      <c r="A32" s="108"/>
      <c r="B32" s="108"/>
      <c r="C32" s="107" t="s">
        <v>297</v>
      </c>
      <c r="D32" s="58" t="s">
        <v>296</v>
      </c>
      <c r="E32" s="316" t="s">
        <v>384</v>
      </c>
      <c r="F32" s="317">
        <f>1.6*2</f>
        <v>3.2</v>
      </c>
      <c r="G32" s="318">
        <v>679000</v>
      </c>
      <c r="H32" s="319">
        <v>0.4</v>
      </c>
      <c r="I32" s="320">
        <v>1</v>
      </c>
      <c r="J32" s="321">
        <f t="shared" si="1"/>
        <v>869000</v>
      </c>
      <c r="K32" s="314">
        <f t="shared" si="0"/>
        <v>869000</v>
      </c>
      <c r="L32" s="99"/>
      <c r="M32" s="99"/>
    </row>
    <row r="33" spans="1:13" s="329" customFormat="1" ht="65.25" customHeight="1">
      <c r="A33" s="108"/>
      <c r="B33" s="108"/>
      <c r="C33" s="322" t="s">
        <v>170</v>
      </c>
      <c r="D33" s="323" t="s">
        <v>169</v>
      </c>
      <c r="E33" s="324" t="s">
        <v>168</v>
      </c>
      <c r="F33" s="325">
        <v>1</v>
      </c>
      <c r="G33" s="318">
        <f>J32</f>
        <v>869000</v>
      </c>
      <c r="H33" s="326">
        <v>0.3</v>
      </c>
      <c r="I33" s="327">
        <v>1</v>
      </c>
      <c r="J33" s="328">
        <f t="shared" si="1"/>
        <v>261000</v>
      </c>
      <c r="K33" s="314">
        <f t="shared" si="0"/>
        <v>261000</v>
      </c>
    </row>
    <row r="34" spans="1:13" s="98" customFormat="1" ht="47.25">
      <c r="A34" s="108"/>
      <c r="B34" s="108"/>
      <c r="C34" s="107" t="s">
        <v>295</v>
      </c>
      <c r="D34" s="330" t="s">
        <v>294</v>
      </c>
      <c r="E34" s="316" t="s">
        <v>386</v>
      </c>
      <c r="F34" s="105">
        <f>3.45*0.5*0.25*12 +8.2*0.2*0.3</f>
        <v>5.6670000000000007</v>
      </c>
      <c r="G34" s="318">
        <v>1000000</v>
      </c>
      <c r="H34" s="342">
        <v>0.4</v>
      </c>
      <c r="I34" s="320">
        <v>1</v>
      </c>
      <c r="J34" s="321">
        <f t="shared" si="1"/>
        <v>2267000</v>
      </c>
      <c r="K34" s="314">
        <f t="shared" si="0"/>
        <v>2267000</v>
      </c>
      <c r="L34" s="99"/>
      <c r="M34" s="99"/>
    </row>
    <row r="35" spans="1:13" s="329" customFormat="1" ht="65.25" customHeight="1">
      <c r="A35" s="108"/>
      <c r="B35" s="108"/>
      <c r="C35" s="322" t="s">
        <v>170</v>
      </c>
      <c r="D35" s="323" t="s">
        <v>169</v>
      </c>
      <c r="E35" s="324" t="s">
        <v>168</v>
      </c>
      <c r="F35" s="325">
        <v>1</v>
      </c>
      <c r="G35" s="318">
        <f>J34</f>
        <v>2267000</v>
      </c>
      <c r="H35" s="326">
        <v>0.3</v>
      </c>
      <c r="I35" s="327">
        <v>1</v>
      </c>
      <c r="J35" s="328">
        <f t="shared" si="1"/>
        <v>680000</v>
      </c>
      <c r="K35" s="314">
        <f t="shared" si="0"/>
        <v>680000</v>
      </c>
    </row>
    <row r="36" spans="1:13" s="98" customFormat="1" ht="63">
      <c r="A36" s="108"/>
      <c r="B36" s="108"/>
      <c r="C36" s="107" t="s">
        <v>293</v>
      </c>
      <c r="D36" s="58" t="s">
        <v>292</v>
      </c>
      <c r="E36" s="316" t="s">
        <v>386</v>
      </c>
      <c r="F36" s="317">
        <f>11*1*0.3+4.4*1*0.3</f>
        <v>4.62</v>
      </c>
      <c r="G36" s="318">
        <v>2482000</v>
      </c>
      <c r="H36" s="319">
        <v>0.4</v>
      </c>
      <c r="I36" s="320">
        <v>1</v>
      </c>
      <c r="J36" s="321">
        <f t="shared" si="1"/>
        <v>4587000</v>
      </c>
      <c r="K36" s="314">
        <f t="shared" si="0"/>
        <v>4587000</v>
      </c>
      <c r="L36" s="99"/>
      <c r="M36" s="99"/>
    </row>
    <row r="37" spans="1:13" s="329" customFormat="1" ht="65.25" customHeight="1">
      <c r="A37" s="108"/>
      <c r="B37" s="108"/>
      <c r="C37" s="322" t="s">
        <v>170</v>
      </c>
      <c r="D37" s="323" t="s">
        <v>169</v>
      </c>
      <c r="E37" s="324" t="s">
        <v>168</v>
      </c>
      <c r="F37" s="325">
        <v>1</v>
      </c>
      <c r="G37" s="318">
        <f>J36</f>
        <v>4587000</v>
      </c>
      <c r="H37" s="326">
        <v>0.3</v>
      </c>
      <c r="I37" s="327">
        <v>1</v>
      </c>
      <c r="J37" s="328">
        <f t="shared" si="1"/>
        <v>1376000</v>
      </c>
      <c r="K37" s="314">
        <f t="shared" si="0"/>
        <v>1376000</v>
      </c>
    </row>
    <row r="38" spans="1:13" s="98" customFormat="1" ht="47.25">
      <c r="A38" s="108"/>
      <c r="B38" s="108"/>
      <c r="C38" s="107" t="s">
        <v>290</v>
      </c>
      <c r="D38" s="330" t="s">
        <v>289</v>
      </c>
      <c r="E38" s="316" t="s">
        <v>384</v>
      </c>
      <c r="F38" s="105">
        <f>10.1*5.5</f>
        <v>55.55</v>
      </c>
      <c r="G38" s="318">
        <v>213000</v>
      </c>
      <c r="H38" s="342">
        <v>0.4</v>
      </c>
      <c r="I38" s="320">
        <v>1</v>
      </c>
      <c r="J38" s="321">
        <f t="shared" si="1"/>
        <v>4733000</v>
      </c>
      <c r="K38" s="314">
        <f t="shared" ref="K38:K69" si="2">ROUND(F38*G38*H38*I38,-3)</f>
        <v>4733000</v>
      </c>
      <c r="L38" s="99"/>
      <c r="M38" s="99"/>
    </row>
    <row r="39" spans="1:13" s="329" customFormat="1" ht="65.25" customHeight="1">
      <c r="A39" s="108"/>
      <c r="B39" s="108"/>
      <c r="C39" s="322" t="s">
        <v>170</v>
      </c>
      <c r="D39" s="323" t="s">
        <v>169</v>
      </c>
      <c r="E39" s="324" t="s">
        <v>168</v>
      </c>
      <c r="F39" s="325">
        <v>1</v>
      </c>
      <c r="G39" s="318">
        <f>J38</f>
        <v>4733000</v>
      </c>
      <c r="H39" s="326">
        <v>0.3</v>
      </c>
      <c r="I39" s="327">
        <v>1</v>
      </c>
      <c r="J39" s="328">
        <f t="shared" si="1"/>
        <v>1420000</v>
      </c>
      <c r="K39" s="314">
        <f t="shared" si="2"/>
        <v>1420000</v>
      </c>
    </row>
    <row r="40" spans="1:13" s="98" customFormat="1" ht="31.5">
      <c r="A40" s="108"/>
      <c r="B40" s="108"/>
      <c r="C40" s="107" t="s">
        <v>288</v>
      </c>
      <c r="D40" s="106" t="s">
        <v>61</v>
      </c>
      <c r="E40" s="106" t="s">
        <v>4</v>
      </c>
      <c r="F40" s="343">
        <v>1</v>
      </c>
      <c r="G40" s="318">
        <v>532550</v>
      </c>
      <c r="H40" s="103">
        <v>1</v>
      </c>
      <c r="I40" s="102">
        <v>1</v>
      </c>
      <c r="J40" s="101">
        <f t="shared" si="1"/>
        <v>533000</v>
      </c>
      <c r="K40" s="314">
        <f t="shared" si="2"/>
        <v>533000</v>
      </c>
      <c r="L40" s="99"/>
      <c r="M40" s="99"/>
    </row>
    <row r="41" spans="1:13" s="98" customFormat="1" ht="31.5">
      <c r="A41" s="108"/>
      <c r="B41" s="108"/>
      <c r="C41" s="107" t="s">
        <v>265</v>
      </c>
      <c r="D41" s="106" t="s">
        <v>264</v>
      </c>
      <c r="E41" s="106" t="s">
        <v>4</v>
      </c>
      <c r="F41" s="343">
        <v>2</v>
      </c>
      <c r="G41" s="318">
        <v>26730</v>
      </c>
      <c r="H41" s="103">
        <v>1</v>
      </c>
      <c r="I41" s="102">
        <v>1</v>
      </c>
      <c r="J41" s="101">
        <f t="shared" si="1"/>
        <v>53000</v>
      </c>
      <c r="K41" s="314">
        <f t="shared" si="2"/>
        <v>53000</v>
      </c>
      <c r="L41" s="99"/>
      <c r="M41" s="99"/>
    </row>
    <row r="42" spans="1:13" s="98" customFormat="1" ht="31.5">
      <c r="A42" s="108"/>
      <c r="B42" s="108"/>
      <c r="C42" s="107" t="s">
        <v>287</v>
      </c>
      <c r="D42" s="106" t="s">
        <v>5</v>
      </c>
      <c r="E42" s="106" t="s">
        <v>4</v>
      </c>
      <c r="F42" s="105">
        <v>54</v>
      </c>
      <c r="G42" s="318">
        <v>26730</v>
      </c>
      <c r="H42" s="103">
        <v>1</v>
      </c>
      <c r="I42" s="102">
        <v>1</v>
      </c>
      <c r="J42" s="101">
        <f t="shared" si="1"/>
        <v>1443000</v>
      </c>
      <c r="K42" s="314">
        <f t="shared" si="2"/>
        <v>1443000</v>
      </c>
      <c r="L42" s="99"/>
      <c r="M42" s="99"/>
    </row>
    <row r="43" spans="1:13" s="98" customFormat="1" ht="31.5">
      <c r="A43" s="108"/>
      <c r="B43" s="108"/>
      <c r="C43" s="107" t="s">
        <v>286</v>
      </c>
      <c r="D43" s="106" t="s">
        <v>285</v>
      </c>
      <c r="E43" s="106" t="s">
        <v>4</v>
      </c>
      <c r="F43" s="343">
        <v>10</v>
      </c>
      <c r="G43" s="318">
        <v>4840</v>
      </c>
      <c r="H43" s="103">
        <v>1</v>
      </c>
      <c r="I43" s="102">
        <v>1</v>
      </c>
      <c r="J43" s="101">
        <f t="shared" si="1"/>
        <v>48000</v>
      </c>
      <c r="K43" s="314">
        <f t="shared" si="2"/>
        <v>48000</v>
      </c>
      <c r="L43" s="99"/>
      <c r="M43" s="99"/>
    </row>
    <row r="44" spans="1:13" s="98" customFormat="1" ht="31.5">
      <c r="A44" s="108"/>
      <c r="B44" s="108"/>
      <c r="C44" s="107" t="s">
        <v>284</v>
      </c>
      <c r="D44" s="106" t="s">
        <v>283</v>
      </c>
      <c r="E44" s="106" t="s">
        <v>384</v>
      </c>
      <c r="F44" s="343">
        <v>5</v>
      </c>
      <c r="G44" s="318">
        <v>4220</v>
      </c>
      <c r="H44" s="103">
        <v>1</v>
      </c>
      <c r="I44" s="102">
        <v>1</v>
      </c>
      <c r="J44" s="101">
        <f t="shared" si="1"/>
        <v>21000</v>
      </c>
      <c r="K44" s="314">
        <f t="shared" si="2"/>
        <v>21000</v>
      </c>
      <c r="L44" s="99"/>
      <c r="M44" s="99"/>
    </row>
    <row r="45" spans="1:13" s="98" customFormat="1" ht="31.5">
      <c r="A45" s="108"/>
      <c r="B45" s="108"/>
      <c r="C45" s="107" t="s">
        <v>282</v>
      </c>
      <c r="D45" s="106" t="s">
        <v>281</v>
      </c>
      <c r="E45" s="106" t="s">
        <v>384</v>
      </c>
      <c r="F45" s="343">
        <v>10</v>
      </c>
      <c r="G45" s="318">
        <v>4220</v>
      </c>
      <c r="H45" s="103">
        <v>1</v>
      </c>
      <c r="I45" s="102">
        <v>1</v>
      </c>
      <c r="J45" s="101">
        <f t="shared" si="1"/>
        <v>42000</v>
      </c>
      <c r="K45" s="314">
        <f t="shared" si="2"/>
        <v>42000</v>
      </c>
      <c r="L45" s="99"/>
      <c r="M45" s="99"/>
    </row>
    <row r="46" spans="1:13" s="98" customFormat="1" ht="31.5">
      <c r="A46" s="108"/>
      <c r="B46" s="108"/>
      <c r="C46" s="107" t="s">
        <v>280</v>
      </c>
      <c r="D46" s="106" t="s">
        <v>61</v>
      </c>
      <c r="E46" s="106" t="s">
        <v>4</v>
      </c>
      <c r="F46" s="343">
        <v>1</v>
      </c>
      <c r="G46" s="318">
        <v>21300</v>
      </c>
      <c r="H46" s="103">
        <v>1</v>
      </c>
      <c r="I46" s="102">
        <v>1</v>
      </c>
      <c r="J46" s="101">
        <f t="shared" si="1"/>
        <v>21000</v>
      </c>
      <c r="K46" s="314">
        <f t="shared" si="2"/>
        <v>21000</v>
      </c>
      <c r="L46" s="99"/>
      <c r="M46" s="99"/>
    </row>
    <row r="47" spans="1:13" s="98" customFormat="1" ht="31.5">
      <c r="A47" s="108"/>
      <c r="B47" s="108"/>
      <c r="C47" s="107" t="s">
        <v>279</v>
      </c>
      <c r="D47" s="106" t="s">
        <v>61</v>
      </c>
      <c r="E47" s="106" t="s">
        <v>384</v>
      </c>
      <c r="F47" s="105">
        <v>10</v>
      </c>
      <c r="G47" s="318">
        <v>10650</v>
      </c>
      <c r="H47" s="103">
        <v>1</v>
      </c>
      <c r="I47" s="102">
        <v>1</v>
      </c>
      <c r="J47" s="101">
        <f t="shared" si="1"/>
        <v>107000</v>
      </c>
      <c r="K47" s="314">
        <f t="shared" si="2"/>
        <v>107000</v>
      </c>
      <c r="L47" s="99"/>
      <c r="M47" s="99"/>
    </row>
    <row r="48" spans="1:13" s="98" customFormat="1" ht="31.5">
      <c r="A48" s="108"/>
      <c r="B48" s="108"/>
      <c r="C48" s="107" t="s">
        <v>278</v>
      </c>
      <c r="D48" s="106" t="s">
        <v>61</v>
      </c>
      <c r="E48" s="106" t="s">
        <v>4</v>
      </c>
      <c r="F48" s="343">
        <v>2</v>
      </c>
      <c r="G48" s="318">
        <v>53260</v>
      </c>
      <c r="H48" s="103">
        <v>1</v>
      </c>
      <c r="I48" s="102">
        <v>1</v>
      </c>
      <c r="J48" s="101">
        <f t="shared" si="1"/>
        <v>107000</v>
      </c>
      <c r="K48" s="314">
        <f t="shared" si="2"/>
        <v>107000</v>
      </c>
      <c r="L48" s="99"/>
      <c r="M48" s="99"/>
    </row>
    <row r="49" spans="1:14" s="42" customFormat="1" ht="33.75" customHeight="1">
      <c r="A49" s="30">
        <v>3</v>
      </c>
      <c r="B49" s="30">
        <v>20</v>
      </c>
      <c r="C49" s="283" t="s">
        <v>277</v>
      </c>
      <c r="D49" s="283"/>
      <c r="E49" s="283"/>
      <c r="F49" s="283"/>
      <c r="G49" s="283"/>
      <c r="H49" s="283"/>
      <c r="I49" s="30"/>
      <c r="J49" s="75">
        <f>SUM(J51:J68)</f>
        <v>11561000</v>
      </c>
      <c r="K49" s="33">
        <f t="shared" si="2"/>
        <v>0</v>
      </c>
      <c r="L49" s="20"/>
      <c r="M49" s="20"/>
      <c r="N49" s="19"/>
    </row>
    <row r="50" spans="1:14" s="53" customFormat="1" ht="73.5" customHeight="1">
      <c r="A50" s="62"/>
      <c r="B50" s="61"/>
      <c r="C50" s="198" t="s">
        <v>200</v>
      </c>
      <c r="D50" s="197"/>
      <c r="E50" s="196"/>
      <c r="F50" s="195"/>
      <c r="G50" s="194"/>
      <c r="H50" s="193"/>
      <c r="I50" s="192"/>
      <c r="J50" s="191">
        <f>ROUND(F50*G50*H50*I50,-3)</f>
        <v>0</v>
      </c>
      <c r="K50" s="33">
        <f t="shared" si="2"/>
        <v>0</v>
      </c>
    </row>
    <row r="51" spans="1:14" s="42" customFormat="1" ht="47.25">
      <c r="A51" s="206"/>
      <c r="B51" s="206"/>
      <c r="C51" s="205" t="s">
        <v>276</v>
      </c>
      <c r="D51" s="28" t="s">
        <v>45</v>
      </c>
      <c r="E51" s="27" t="s">
        <v>25</v>
      </c>
      <c r="F51" s="204">
        <f>0.5*1.8</f>
        <v>0.9</v>
      </c>
      <c r="G51" s="25">
        <v>792000</v>
      </c>
      <c r="H51" s="86">
        <v>0.7</v>
      </c>
      <c r="I51" s="44">
        <v>1</v>
      </c>
      <c r="J51" s="22">
        <f>ROUND(F51*G51*H51*I51,-3)</f>
        <v>499000</v>
      </c>
      <c r="K51" s="33">
        <f t="shared" si="2"/>
        <v>499000</v>
      </c>
      <c r="L51" s="20"/>
      <c r="M51" s="20"/>
      <c r="N51" s="19"/>
    </row>
    <row r="52" spans="1:14" s="159" customFormat="1" ht="65.25" customHeight="1">
      <c r="A52" s="30"/>
      <c r="B52" s="30"/>
      <c r="C52" s="167" t="s">
        <v>170</v>
      </c>
      <c r="D52" s="166" t="s">
        <v>169</v>
      </c>
      <c r="E52" s="165" t="s">
        <v>168</v>
      </c>
      <c r="F52" s="164">
        <v>1</v>
      </c>
      <c r="G52" s="163">
        <f>J51</f>
        <v>499000</v>
      </c>
      <c r="H52" s="162">
        <v>0.3</v>
      </c>
      <c r="I52" s="161">
        <v>1</v>
      </c>
      <c r="J52" s="160">
        <f>ROUND(F52*G52*H52*I52,-3)</f>
        <v>150000</v>
      </c>
      <c r="K52" s="33">
        <f t="shared" si="2"/>
        <v>150000</v>
      </c>
    </row>
    <row r="53" spans="1:14" s="42" customFormat="1" ht="63">
      <c r="A53" s="206"/>
      <c r="B53" s="206"/>
      <c r="C53" s="205" t="s">
        <v>275</v>
      </c>
      <c r="D53" s="28" t="s">
        <v>43</v>
      </c>
      <c r="E53" s="27" t="s">
        <v>2</v>
      </c>
      <c r="F53" s="204">
        <f>0.25*0.25*1.6*8</f>
        <v>0.8</v>
      </c>
      <c r="G53" s="25">
        <v>2828000</v>
      </c>
      <c r="H53" s="85">
        <v>0.6</v>
      </c>
      <c r="I53" s="44">
        <v>1</v>
      </c>
      <c r="J53" s="22">
        <f>ROUND(F53*G53*H53*I53,-3)</f>
        <v>1357000</v>
      </c>
      <c r="K53" s="33">
        <f t="shared" si="2"/>
        <v>1357000</v>
      </c>
      <c r="L53" s="20"/>
      <c r="M53" s="20"/>
      <c r="N53" s="19"/>
    </row>
    <row r="54" spans="1:14" s="159" customFormat="1" ht="65.25" customHeight="1">
      <c r="A54" s="30"/>
      <c r="B54" s="30"/>
      <c r="C54" s="167" t="s">
        <v>170</v>
      </c>
      <c r="D54" s="166" t="s">
        <v>169</v>
      </c>
      <c r="E54" s="165" t="s">
        <v>168</v>
      </c>
      <c r="F54" s="164">
        <v>1</v>
      </c>
      <c r="G54" s="163">
        <f>J53</f>
        <v>1357000</v>
      </c>
      <c r="H54" s="162">
        <v>0.3</v>
      </c>
      <c r="I54" s="161">
        <v>1</v>
      </c>
      <c r="J54" s="160">
        <f>ROUND(F54*G54*H54*I54,-3)</f>
        <v>407000</v>
      </c>
      <c r="K54" s="33">
        <f t="shared" si="2"/>
        <v>407000</v>
      </c>
    </row>
    <row r="55" spans="1:14" s="42" customFormat="1" ht="47.25">
      <c r="A55" s="30"/>
      <c r="B55" s="30"/>
      <c r="C55" s="49" t="s">
        <v>274</v>
      </c>
      <c r="D55" s="48" t="s">
        <v>8</v>
      </c>
      <c r="E55" s="47" t="s">
        <v>7</v>
      </c>
      <c r="F55" s="26">
        <f>19*2</f>
        <v>38</v>
      </c>
      <c r="G55" s="46">
        <v>11000</v>
      </c>
      <c r="H55" s="45">
        <v>0.6</v>
      </c>
      <c r="I55" s="44">
        <v>1</v>
      </c>
      <c r="J55" s="43">
        <f>ROUND((F55*G55*H55*I55),-3)</f>
        <v>251000</v>
      </c>
      <c r="K55" s="33">
        <f t="shared" si="2"/>
        <v>251000</v>
      </c>
      <c r="L55" s="20"/>
      <c r="M55" s="20"/>
      <c r="N55" s="19"/>
    </row>
    <row r="56" spans="1:14" s="159" customFormat="1" ht="65.25" customHeight="1">
      <c r="A56" s="30"/>
      <c r="B56" s="30"/>
      <c r="C56" s="167" t="s">
        <v>170</v>
      </c>
      <c r="D56" s="166" t="s">
        <v>169</v>
      </c>
      <c r="E56" s="165" t="s">
        <v>168</v>
      </c>
      <c r="F56" s="164">
        <v>1</v>
      </c>
      <c r="G56" s="163">
        <f>J55</f>
        <v>251000</v>
      </c>
      <c r="H56" s="162">
        <v>0.3</v>
      </c>
      <c r="I56" s="161">
        <v>1</v>
      </c>
      <c r="J56" s="160">
        <f>ROUND(F56*G56*H56*I56,-3)</f>
        <v>75000</v>
      </c>
      <c r="K56" s="33">
        <f t="shared" si="2"/>
        <v>75000</v>
      </c>
    </row>
    <row r="57" spans="1:14" s="42" customFormat="1" ht="31.5">
      <c r="A57" s="30"/>
      <c r="B57" s="30"/>
      <c r="C57" s="49" t="s">
        <v>273</v>
      </c>
      <c r="D57" s="81" t="s">
        <v>61</v>
      </c>
      <c r="E57" s="81" t="s">
        <v>4</v>
      </c>
      <c r="F57" s="80">
        <v>2</v>
      </c>
      <c r="G57" s="82">
        <v>1065100</v>
      </c>
      <c r="H57" s="78">
        <v>1</v>
      </c>
      <c r="I57" s="77">
        <v>1</v>
      </c>
      <c r="J57" s="76">
        <f>ROUND(F57*G57*H57*I57,-3)</f>
        <v>2130000</v>
      </c>
      <c r="K57" s="33">
        <f t="shared" si="2"/>
        <v>2130000</v>
      </c>
      <c r="L57" s="20"/>
      <c r="M57" s="20"/>
      <c r="N57" s="19"/>
    </row>
    <row r="58" spans="1:14" s="42" customFormat="1" ht="31.5">
      <c r="A58" s="30"/>
      <c r="B58" s="30"/>
      <c r="C58" s="49" t="s">
        <v>272</v>
      </c>
      <c r="D58" s="81" t="s">
        <v>28</v>
      </c>
      <c r="E58" s="81" t="s">
        <v>4</v>
      </c>
      <c r="F58" s="26">
        <v>3</v>
      </c>
      <c r="G58" s="82">
        <v>641190</v>
      </c>
      <c r="H58" s="78">
        <v>1</v>
      </c>
      <c r="I58" s="26">
        <v>1</v>
      </c>
      <c r="J58" s="43">
        <f>ROUND((F58*G58*H58*I58),-3)</f>
        <v>1924000</v>
      </c>
      <c r="K58" s="33">
        <f t="shared" si="2"/>
        <v>1924000</v>
      </c>
      <c r="L58" s="20"/>
      <c r="M58" s="20"/>
      <c r="N58" s="19"/>
    </row>
    <row r="59" spans="1:14" s="42" customFormat="1" ht="31.5">
      <c r="A59" s="30"/>
      <c r="B59" s="30"/>
      <c r="C59" s="49" t="s">
        <v>271</v>
      </c>
      <c r="D59" s="81" t="s">
        <v>34</v>
      </c>
      <c r="E59" s="81" t="s">
        <v>4</v>
      </c>
      <c r="F59" s="26">
        <v>1</v>
      </c>
      <c r="G59" s="82">
        <v>154440</v>
      </c>
      <c r="H59" s="78">
        <v>1</v>
      </c>
      <c r="I59" s="77">
        <v>1</v>
      </c>
      <c r="J59" s="76">
        <f t="shared" ref="J59:J68" si="3">ROUND(F59*G59*H59*I59,-3)</f>
        <v>154000</v>
      </c>
      <c r="K59" s="33">
        <f t="shared" si="2"/>
        <v>154000</v>
      </c>
      <c r="L59" s="20"/>
      <c r="M59" s="20"/>
      <c r="N59" s="19"/>
    </row>
    <row r="60" spans="1:14" s="42" customFormat="1" ht="31.5">
      <c r="A60" s="30"/>
      <c r="B60" s="30"/>
      <c r="C60" s="49" t="s">
        <v>270</v>
      </c>
      <c r="D60" s="81" t="s">
        <v>269</v>
      </c>
      <c r="E60" s="81" t="s">
        <v>4</v>
      </c>
      <c r="F60" s="80">
        <v>1</v>
      </c>
      <c r="G60" s="82">
        <v>308880</v>
      </c>
      <c r="H60" s="78">
        <v>1</v>
      </c>
      <c r="I60" s="77">
        <v>1</v>
      </c>
      <c r="J60" s="76">
        <f t="shared" si="3"/>
        <v>309000</v>
      </c>
      <c r="K60" s="33">
        <f t="shared" si="2"/>
        <v>309000</v>
      </c>
      <c r="L60" s="20"/>
      <c r="M60" s="20"/>
      <c r="N60" s="19"/>
    </row>
    <row r="61" spans="1:14" s="42" customFormat="1" ht="31.5">
      <c r="A61" s="30"/>
      <c r="B61" s="30"/>
      <c r="C61" s="49" t="s">
        <v>268</v>
      </c>
      <c r="D61" s="81" t="s">
        <v>211</v>
      </c>
      <c r="E61" s="81" t="s">
        <v>4</v>
      </c>
      <c r="F61" s="80">
        <v>1</v>
      </c>
      <c r="G61" s="82">
        <v>412190</v>
      </c>
      <c r="H61" s="78">
        <v>1</v>
      </c>
      <c r="I61" s="77">
        <v>1</v>
      </c>
      <c r="J61" s="76">
        <f t="shared" si="3"/>
        <v>412000</v>
      </c>
      <c r="K61" s="33">
        <f t="shared" si="2"/>
        <v>412000</v>
      </c>
      <c r="L61" s="20"/>
      <c r="M61" s="20"/>
      <c r="N61" s="19"/>
    </row>
    <row r="62" spans="1:14" s="42" customFormat="1" ht="47.25">
      <c r="A62" s="30"/>
      <c r="B62" s="30"/>
      <c r="C62" s="49" t="s">
        <v>267</v>
      </c>
      <c r="D62" s="81" t="s">
        <v>207</v>
      </c>
      <c r="E62" s="81" t="s">
        <v>4</v>
      </c>
      <c r="F62" s="80">
        <v>1</v>
      </c>
      <c r="G62" s="82">
        <v>13630</v>
      </c>
      <c r="H62" s="78">
        <v>1</v>
      </c>
      <c r="I62" s="77">
        <v>1</v>
      </c>
      <c r="J62" s="76">
        <f t="shared" si="3"/>
        <v>14000</v>
      </c>
      <c r="K62" s="33">
        <f t="shared" si="2"/>
        <v>14000</v>
      </c>
      <c r="L62" s="20"/>
      <c r="M62" s="20"/>
      <c r="N62" s="19"/>
    </row>
    <row r="63" spans="1:14" s="42" customFormat="1" ht="31.5">
      <c r="A63" s="30"/>
      <c r="B63" s="30"/>
      <c r="C63" s="49" t="s">
        <v>266</v>
      </c>
      <c r="D63" s="81" t="s">
        <v>34</v>
      </c>
      <c r="E63" s="81" t="s">
        <v>4</v>
      </c>
      <c r="F63" s="26">
        <v>1</v>
      </c>
      <c r="G63" s="82">
        <v>112900</v>
      </c>
      <c r="H63" s="78">
        <v>1</v>
      </c>
      <c r="I63" s="77">
        <v>1</v>
      </c>
      <c r="J63" s="76">
        <f t="shared" si="3"/>
        <v>113000</v>
      </c>
      <c r="K63" s="33">
        <f t="shared" si="2"/>
        <v>113000</v>
      </c>
      <c r="L63" s="20"/>
      <c r="M63" s="20"/>
      <c r="N63" s="19"/>
    </row>
    <row r="64" spans="1:14" s="42" customFormat="1" ht="31.5">
      <c r="A64" s="30"/>
      <c r="B64" s="30"/>
      <c r="C64" s="49" t="s">
        <v>265</v>
      </c>
      <c r="D64" s="81" t="s">
        <v>264</v>
      </c>
      <c r="E64" s="81" t="s">
        <v>4</v>
      </c>
      <c r="F64" s="80">
        <v>2</v>
      </c>
      <c r="G64" s="82">
        <v>26730</v>
      </c>
      <c r="H64" s="78">
        <v>1</v>
      </c>
      <c r="I64" s="77">
        <v>1</v>
      </c>
      <c r="J64" s="76">
        <f t="shared" si="3"/>
        <v>53000</v>
      </c>
      <c r="K64" s="33">
        <f t="shared" si="2"/>
        <v>53000</v>
      </c>
      <c r="L64" s="20"/>
      <c r="M64" s="20"/>
      <c r="N64" s="19"/>
    </row>
    <row r="65" spans="1:14" s="42" customFormat="1" ht="47.25">
      <c r="A65" s="30"/>
      <c r="B65" s="30"/>
      <c r="C65" s="49" t="s">
        <v>263</v>
      </c>
      <c r="D65" s="81" t="s">
        <v>262</v>
      </c>
      <c r="E65" s="81" t="s">
        <v>4</v>
      </c>
      <c r="F65" s="80">
        <v>5</v>
      </c>
      <c r="G65" s="82">
        <v>73670</v>
      </c>
      <c r="H65" s="78">
        <v>1</v>
      </c>
      <c r="I65" s="77">
        <v>1</v>
      </c>
      <c r="J65" s="76">
        <f t="shared" si="3"/>
        <v>368000</v>
      </c>
      <c r="K65" s="33">
        <f t="shared" si="2"/>
        <v>368000</v>
      </c>
      <c r="L65" s="20"/>
      <c r="M65" s="20"/>
      <c r="N65" s="19"/>
    </row>
    <row r="66" spans="1:14" s="42" customFormat="1" ht="31.5">
      <c r="A66" s="30"/>
      <c r="B66" s="30"/>
      <c r="C66" s="49" t="s">
        <v>261</v>
      </c>
      <c r="D66" s="81" t="s">
        <v>61</v>
      </c>
      <c r="E66" s="81" t="s">
        <v>4</v>
      </c>
      <c r="F66" s="80">
        <v>5</v>
      </c>
      <c r="G66" s="82">
        <v>532550</v>
      </c>
      <c r="H66" s="78">
        <v>1</v>
      </c>
      <c r="I66" s="77">
        <v>1</v>
      </c>
      <c r="J66" s="76">
        <f t="shared" si="3"/>
        <v>2663000</v>
      </c>
      <c r="K66" s="33">
        <f t="shared" si="2"/>
        <v>2663000</v>
      </c>
      <c r="L66" s="20"/>
      <c r="M66" s="20"/>
      <c r="N66" s="19"/>
    </row>
    <row r="67" spans="1:14" s="42" customFormat="1" ht="31.5">
      <c r="A67" s="30"/>
      <c r="B67" s="30"/>
      <c r="C67" s="49" t="s">
        <v>260</v>
      </c>
      <c r="D67" s="81" t="s">
        <v>61</v>
      </c>
      <c r="E67" s="81" t="s">
        <v>4</v>
      </c>
      <c r="F67" s="80">
        <v>4</v>
      </c>
      <c r="G67" s="82">
        <v>106510</v>
      </c>
      <c r="H67" s="78">
        <v>1</v>
      </c>
      <c r="I67" s="77">
        <v>1</v>
      </c>
      <c r="J67" s="76">
        <f t="shared" si="3"/>
        <v>426000</v>
      </c>
      <c r="K67" s="33">
        <f t="shared" si="2"/>
        <v>426000</v>
      </c>
      <c r="L67" s="20"/>
      <c r="M67" s="20"/>
      <c r="N67" s="19"/>
    </row>
    <row r="68" spans="1:14" s="42" customFormat="1" ht="31.5">
      <c r="A68" s="30"/>
      <c r="B68" s="30"/>
      <c r="C68" s="49" t="s">
        <v>259</v>
      </c>
      <c r="D68" s="81" t="s">
        <v>258</v>
      </c>
      <c r="E68" s="81" t="s">
        <v>4</v>
      </c>
      <c r="F68" s="80">
        <v>1</v>
      </c>
      <c r="G68" s="82">
        <v>255620</v>
      </c>
      <c r="H68" s="78">
        <v>1</v>
      </c>
      <c r="I68" s="77">
        <v>1</v>
      </c>
      <c r="J68" s="76">
        <f t="shared" si="3"/>
        <v>256000</v>
      </c>
      <c r="K68" s="33">
        <f t="shared" si="2"/>
        <v>256000</v>
      </c>
      <c r="L68" s="20"/>
      <c r="M68" s="20"/>
      <c r="N68" s="19"/>
    </row>
    <row r="69" spans="1:14" s="42" customFormat="1" ht="45" customHeight="1">
      <c r="A69" s="129">
        <v>4</v>
      </c>
      <c r="B69" s="129" t="s">
        <v>257</v>
      </c>
      <c r="C69" s="283" t="s">
        <v>256</v>
      </c>
      <c r="D69" s="283"/>
      <c r="E69" s="283"/>
      <c r="F69" s="283"/>
      <c r="G69" s="283"/>
      <c r="H69" s="283"/>
      <c r="I69" s="203"/>
      <c r="J69" s="202">
        <f>SUM(J70:J74)</f>
        <v>64046000</v>
      </c>
      <c r="K69" s="33">
        <f t="shared" si="2"/>
        <v>0</v>
      </c>
      <c r="L69" s="20"/>
      <c r="M69" s="19"/>
      <c r="N69" s="19"/>
    </row>
    <row r="70" spans="1:14" s="53" customFormat="1" ht="73.5" customHeight="1">
      <c r="A70" s="62"/>
      <c r="B70" s="61"/>
      <c r="C70" s="198" t="s">
        <v>200</v>
      </c>
      <c r="D70" s="197"/>
      <c r="E70" s="196"/>
      <c r="F70" s="195"/>
      <c r="G70" s="194"/>
      <c r="H70" s="193"/>
      <c r="I70" s="192"/>
      <c r="J70" s="191">
        <f>ROUND(F70*G70*H70*I70,-3)</f>
        <v>0</v>
      </c>
      <c r="K70" s="33">
        <f t="shared" ref="K70:K101" si="4">ROUND(F70*G70*H70*I70,-3)</f>
        <v>0</v>
      </c>
    </row>
    <row r="71" spans="1:14" s="42" customFormat="1" ht="85.5" customHeight="1">
      <c r="A71" s="97"/>
      <c r="B71" s="97"/>
      <c r="C71" s="29" t="s">
        <v>255</v>
      </c>
      <c r="D71" s="28" t="s">
        <v>253</v>
      </c>
      <c r="E71" s="27" t="s">
        <v>25</v>
      </c>
      <c r="F71" s="87">
        <f>6.9*3</f>
        <v>20.700000000000003</v>
      </c>
      <c r="G71" s="163">
        <v>2975000</v>
      </c>
      <c r="H71" s="24">
        <v>0.4</v>
      </c>
      <c r="I71" s="44">
        <v>1</v>
      </c>
      <c r="J71" s="22">
        <f>ROUND(F71*G71*H71*I71,-3)</f>
        <v>24633000</v>
      </c>
      <c r="K71" s="33">
        <f t="shared" si="4"/>
        <v>24633000</v>
      </c>
      <c r="L71" s="20"/>
      <c r="M71" s="19"/>
      <c r="N71" s="19"/>
    </row>
    <row r="72" spans="1:14" s="159" customFormat="1" ht="65.25" customHeight="1">
      <c r="A72" s="30"/>
      <c r="B72" s="30"/>
      <c r="C72" s="167" t="s">
        <v>170</v>
      </c>
      <c r="D72" s="166" t="s">
        <v>169</v>
      </c>
      <c r="E72" s="165" t="s">
        <v>168</v>
      </c>
      <c r="F72" s="164">
        <v>1</v>
      </c>
      <c r="G72" s="163">
        <f>J71</f>
        <v>24633000</v>
      </c>
      <c r="H72" s="162">
        <v>0.3</v>
      </c>
      <c r="I72" s="161">
        <v>1</v>
      </c>
      <c r="J72" s="160">
        <f>ROUND(F72*G72*H72*I72,-3)</f>
        <v>7390000</v>
      </c>
      <c r="K72" s="33">
        <f t="shared" si="4"/>
        <v>7390000</v>
      </c>
    </row>
    <row r="73" spans="1:14" s="42" customFormat="1" ht="85.5" customHeight="1">
      <c r="A73" s="128"/>
      <c r="B73" s="128"/>
      <c r="C73" s="29" t="s">
        <v>254</v>
      </c>
      <c r="D73" s="28" t="s">
        <v>253</v>
      </c>
      <c r="E73" s="27" t="s">
        <v>25</v>
      </c>
      <c r="F73" s="50">
        <f>6.9*3</f>
        <v>20.700000000000003</v>
      </c>
      <c r="G73" s="163">
        <v>2975000</v>
      </c>
      <c r="H73" s="24">
        <v>0.4</v>
      </c>
      <c r="I73" s="44">
        <v>1</v>
      </c>
      <c r="J73" s="22">
        <f>ROUND(F73*G73*H73*I73,-3)</f>
        <v>24633000</v>
      </c>
      <c r="K73" s="33">
        <f t="shared" si="4"/>
        <v>24633000</v>
      </c>
      <c r="L73" s="20"/>
      <c r="M73" s="19"/>
      <c r="N73" s="19"/>
    </row>
    <row r="74" spans="1:14" s="159" customFormat="1" ht="65.25" customHeight="1">
      <c r="A74" s="30"/>
      <c r="B74" s="30"/>
      <c r="C74" s="167" t="s">
        <v>170</v>
      </c>
      <c r="D74" s="166" t="s">
        <v>169</v>
      </c>
      <c r="E74" s="165" t="s">
        <v>168</v>
      </c>
      <c r="F74" s="164">
        <v>1</v>
      </c>
      <c r="G74" s="163">
        <f>J73</f>
        <v>24633000</v>
      </c>
      <c r="H74" s="162">
        <v>0.3</v>
      </c>
      <c r="I74" s="161">
        <v>1</v>
      </c>
      <c r="J74" s="160">
        <f>ROUND(F74*G74*H74*I74,-3)</f>
        <v>7390000</v>
      </c>
      <c r="K74" s="33">
        <f t="shared" si="4"/>
        <v>7390000</v>
      </c>
    </row>
    <row r="75" spans="1:14" s="42" customFormat="1" ht="40.5" customHeight="1">
      <c r="A75" s="30">
        <v>5</v>
      </c>
      <c r="B75" s="30">
        <v>41</v>
      </c>
      <c r="C75" s="283" t="s">
        <v>252</v>
      </c>
      <c r="D75" s="283"/>
      <c r="E75" s="283"/>
      <c r="F75" s="283"/>
      <c r="G75" s="283"/>
      <c r="H75" s="283"/>
      <c r="I75" s="30"/>
      <c r="J75" s="75">
        <f>SUM(J76:J96)</f>
        <v>137918000</v>
      </c>
      <c r="K75" s="33">
        <f t="shared" si="4"/>
        <v>0</v>
      </c>
      <c r="L75" s="20"/>
      <c r="M75" s="19"/>
      <c r="N75" s="19"/>
    </row>
    <row r="76" spans="1:14" s="53" customFormat="1" ht="73.5" customHeight="1">
      <c r="A76" s="62"/>
      <c r="B76" s="61"/>
      <c r="C76" s="198" t="s">
        <v>200</v>
      </c>
      <c r="D76" s="197"/>
      <c r="E76" s="196"/>
      <c r="F76" s="195"/>
      <c r="G76" s="194"/>
      <c r="H76" s="193"/>
      <c r="I76" s="192"/>
      <c r="J76" s="191">
        <f t="shared" ref="J76:J96" si="5">ROUND(F76*G76*H76*I76,-3)</f>
        <v>0</v>
      </c>
      <c r="K76" s="33">
        <f t="shared" si="4"/>
        <v>0</v>
      </c>
    </row>
    <row r="77" spans="1:14" s="42" customFormat="1" ht="47.25">
      <c r="A77" s="30"/>
      <c r="B77" s="30"/>
      <c r="C77" s="49" t="s">
        <v>251</v>
      </c>
      <c r="D77" s="28" t="s">
        <v>45</v>
      </c>
      <c r="E77" s="27" t="s">
        <v>25</v>
      </c>
      <c r="F77" s="26">
        <f>15.8*3.5+40.4*1.8+4.5*1.5+9*2.8+6.75*0.8</f>
        <v>165.37</v>
      </c>
      <c r="G77" s="163">
        <v>792000</v>
      </c>
      <c r="H77" s="86">
        <v>0.4</v>
      </c>
      <c r="I77" s="44">
        <v>1</v>
      </c>
      <c r="J77" s="22">
        <f t="shared" si="5"/>
        <v>52389000</v>
      </c>
      <c r="K77" s="33">
        <f t="shared" si="4"/>
        <v>52389000</v>
      </c>
      <c r="L77" s="20"/>
      <c r="M77" s="19"/>
      <c r="N77" s="19"/>
    </row>
    <row r="78" spans="1:14" s="159" customFormat="1" ht="65.25" customHeight="1">
      <c r="A78" s="30"/>
      <c r="B78" s="30"/>
      <c r="C78" s="167" t="s">
        <v>170</v>
      </c>
      <c r="D78" s="166" t="s">
        <v>169</v>
      </c>
      <c r="E78" s="165" t="s">
        <v>168</v>
      </c>
      <c r="F78" s="164">
        <v>1</v>
      </c>
      <c r="G78" s="163">
        <f>J77</f>
        <v>52389000</v>
      </c>
      <c r="H78" s="162">
        <v>0.3</v>
      </c>
      <c r="I78" s="161">
        <v>1</v>
      </c>
      <c r="J78" s="160">
        <f t="shared" si="5"/>
        <v>15717000</v>
      </c>
      <c r="K78" s="33">
        <f t="shared" si="4"/>
        <v>15717000</v>
      </c>
    </row>
    <row r="79" spans="1:14" s="42" customFormat="1" ht="63">
      <c r="A79" s="30"/>
      <c r="B79" s="30"/>
      <c r="C79" s="49" t="s">
        <v>250</v>
      </c>
      <c r="D79" s="28" t="s">
        <v>43</v>
      </c>
      <c r="E79" s="27" t="s">
        <v>2</v>
      </c>
      <c r="F79" s="26">
        <f>0.35*0.35*2.8*4</f>
        <v>1.3719999999999997</v>
      </c>
      <c r="G79" s="163">
        <v>2828000</v>
      </c>
      <c r="H79" s="85">
        <v>0.4</v>
      </c>
      <c r="I79" s="84">
        <v>1</v>
      </c>
      <c r="J79" s="22">
        <f t="shared" si="5"/>
        <v>1552000</v>
      </c>
      <c r="K79" s="33">
        <f t="shared" si="4"/>
        <v>1552000</v>
      </c>
      <c r="L79" s="20"/>
      <c r="M79" s="19"/>
      <c r="N79" s="19"/>
    </row>
    <row r="80" spans="1:14" s="159" customFormat="1" ht="65.25" customHeight="1">
      <c r="A80" s="30"/>
      <c r="B80" s="30"/>
      <c r="C80" s="167" t="s">
        <v>170</v>
      </c>
      <c r="D80" s="166" t="s">
        <v>169</v>
      </c>
      <c r="E80" s="165" t="s">
        <v>168</v>
      </c>
      <c r="F80" s="164">
        <v>1</v>
      </c>
      <c r="G80" s="163">
        <f>J79</f>
        <v>1552000</v>
      </c>
      <c r="H80" s="162">
        <v>0.3</v>
      </c>
      <c r="I80" s="161">
        <v>1</v>
      </c>
      <c r="J80" s="160">
        <f t="shared" si="5"/>
        <v>466000</v>
      </c>
      <c r="K80" s="33">
        <f t="shared" si="4"/>
        <v>466000</v>
      </c>
    </row>
    <row r="81" spans="1:14" s="42" customFormat="1" ht="47.25">
      <c r="A81" s="30"/>
      <c r="B81" s="30"/>
      <c r="C81" s="49" t="s">
        <v>249</v>
      </c>
      <c r="D81" s="28" t="s">
        <v>248</v>
      </c>
      <c r="E81" s="27" t="s">
        <v>25</v>
      </c>
      <c r="F81" s="50">
        <f>3.3*1</f>
        <v>3.3</v>
      </c>
      <c r="G81" s="163">
        <v>236000</v>
      </c>
      <c r="H81" s="24">
        <v>0.4</v>
      </c>
      <c r="I81" s="44">
        <v>1</v>
      </c>
      <c r="J81" s="22">
        <f t="shared" si="5"/>
        <v>312000</v>
      </c>
      <c r="K81" s="33">
        <f t="shared" si="4"/>
        <v>312000</v>
      </c>
      <c r="L81" s="20"/>
      <c r="M81" s="19"/>
      <c r="N81" s="19"/>
    </row>
    <row r="82" spans="1:14" s="159" customFormat="1" ht="65.25" customHeight="1">
      <c r="A82" s="30"/>
      <c r="B82" s="30"/>
      <c r="C82" s="167" t="s">
        <v>170</v>
      </c>
      <c r="D82" s="166" t="s">
        <v>169</v>
      </c>
      <c r="E82" s="165" t="s">
        <v>168</v>
      </c>
      <c r="F82" s="164">
        <v>1</v>
      </c>
      <c r="G82" s="163">
        <f>J81</f>
        <v>312000</v>
      </c>
      <c r="H82" s="162">
        <v>0.3</v>
      </c>
      <c r="I82" s="161">
        <v>1</v>
      </c>
      <c r="J82" s="160">
        <f t="shared" si="5"/>
        <v>94000</v>
      </c>
      <c r="K82" s="33">
        <f t="shared" si="4"/>
        <v>94000</v>
      </c>
    </row>
    <row r="83" spans="1:14" s="42" customFormat="1" ht="47.25">
      <c r="A83" s="30"/>
      <c r="B83" s="30"/>
      <c r="C83" s="49" t="s">
        <v>247</v>
      </c>
      <c r="D83" s="28" t="s">
        <v>246</v>
      </c>
      <c r="E83" s="27" t="s">
        <v>25</v>
      </c>
      <c r="F83" s="50">
        <f>3.2*2.1</f>
        <v>6.7200000000000006</v>
      </c>
      <c r="G83" s="163">
        <v>1228000</v>
      </c>
      <c r="H83" s="24">
        <v>0.4</v>
      </c>
      <c r="I83" s="44">
        <v>1</v>
      </c>
      <c r="J83" s="22">
        <f t="shared" si="5"/>
        <v>3301000</v>
      </c>
      <c r="K83" s="33">
        <f t="shared" si="4"/>
        <v>3301000</v>
      </c>
      <c r="L83" s="20"/>
      <c r="M83" s="19"/>
      <c r="N83" s="19"/>
    </row>
    <row r="84" spans="1:14" s="159" customFormat="1" ht="65.25" customHeight="1">
      <c r="A84" s="30"/>
      <c r="B84" s="30"/>
      <c r="C84" s="167" t="s">
        <v>170</v>
      </c>
      <c r="D84" s="166" t="s">
        <v>169</v>
      </c>
      <c r="E84" s="165" t="s">
        <v>168</v>
      </c>
      <c r="F84" s="164">
        <v>1</v>
      </c>
      <c r="G84" s="163">
        <f>J83</f>
        <v>3301000</v>
      </c>
      <c r="H84" s="162">
        <v>0.3</v>
      </c>
      <c r="I84" s="161">
        <v>1</v>
      </c>
      <c r="J84" s="160">
        <f t="shared" si="5"/>
        <v>990000</v>
      </c>
      <c r="K84" s="33">
        <f t="shared" si="4"/>
        <v>990000</v>
      </c>
    </row>
    <row r="85" spans="1:14" s="42" customFormat="1" ht="47.25">
      <c r="A85" s="30"/>
      <c r="B85" s="30"/>
      <c r="C85" s="49" t="s">
        <v>245</v>
      </c>
      <c r="D85" s="28" t="s">
        <v>244</v>
      </c>
      <c r="E85" s="27" t="s">
        <v>2</v>
      </c>
      <c r="F85" s="50">
        <f>6.75*5*3.5</f>
        <v>118.125</v>
      </c>
      <c r="G85" s="163">
        <v>801000</v>
      </c>
      <c r="H85" s="24">
        <v>0.4</v>
      </c>
      <c r="I85" s="44">
        <v>1</v>
      </c>
      <c r="J85" s="22">
        <f t="shared" si="5"/>
        <v>37847000</v>
      </c>
      <c r="K85" s="33">
        <f t="shared" si="4"/>
        <v>37847000</v>
      </c>
      <c r="L85" s="20"/>
      <c r="M85" s="19"/>
      <c r="N85" s="19"/>
    </row>
    <row r="86" spans="1:14" s="159" customFormat="1" ht="65.25" customHeight="1">
      <c r="A86" s="30"/>
      <c r="B86" s="30"/>
      <c r="C86" s="167" t="s">
        <v>170</v>
      </c>
      <c r="D86" s="166" t="s">
        <v>169</v>
      </c>
      <c r="E86" s="165" t="s">
        <v>168</v>
      </c>
      <c r="F86" s="164">
        <v>1</v>
      </c>
      <c r="G86" s="163">
        <f>J85</f>
        <v>37847000</v>
      </c>
      <c r="H86" s="162">
        <v>0.3</v>
      </c>
      <c r="I86" s="161">
        <v>1</v>
      </c>
      <c r="J86" s="160">
        <f t="shared" si="5"/>
        <v>11354000</v>
      </c>
      <c r="K86" s="33">
        <f t="shared" si="4"/>
        <v>11354000</v>
      </c>
    </row>
    <row r="87" spans="1:14" s="42" customFormat="1" ht="63">
      <c r="A87" s="30"/>
      <c r="B87" s="30"/>
      <c r="C87" s="49" t="s">
        <v>243</v>
      </c>
      <c r="D87" s="28" t="s">
        <v>43</v>
      </c>
      <c r="E87" s="27" t="s">
        <v>2</v>
      </c>
      <c r="F87" s="50">
        <f>8.5*0.8*0.12</f>
        <v>0.81600000000000006</v>
      </c>
      <c r="G87" s="163">
        <v>2828000</v>
      </c>
      <c r="H87" s="24">
        <v>0.4</v>
      </c>
      <c r="I87" s="44">
        <v>1</v>
      </c>
      <c r="J87" s="22">
        <f t="shared" si="5"/>
        <v>923000</v>
      </c>
      <c r="K87" s="33">
        <f t="shared" si="4"/>
        <v>923000</v>
      </c>
      <c r="L87" s="20"/>
      <c r="M87" s="19"/>
      <c r="N87" s="19"/>
    </row>
    <row r="88" spans="1:14" s="159" customFormat="1" ht="65.25" customHeight="1">
      <c r="A88" s="30"/>
      <c r="B88" s="30"/>
      <c r="C88" s="167" t="s">
        <v>170</v>
      </c>
      <c r="D88" s="166" t="s">
        <v>169</v>
      </c>
      <c r="E88" s="165" t="s">
        <v>168</v>
      </c>
      <c r="F88" s="164">
        <v>1</v>
      </c>
      <c r="G88" s="163">
        <f>J87</f>
        <v>923000</v>
      </c>
      <c r="H88" s="162">
        <v>0.3</v>
      </c>
      <c r="I88" s="161">
        <v>1</v>
      </c>
      <c r="J88" s="160">
        <f t="shared" si="5"/>
        <v>277000</v>
      </c>
      <c r="K88" s="33">
        <f t="shared" si="4"/>
        <v>277000</v>
      </c>
    </row>
    <row r="89" spans="1:14" s="42" customFormat="1" ht="47.25">
      <c r="A89" s="30"/>
      <c r="B89" s="30"/>
      <c r="C89" s="49" t="s">
        <v>242</v>
      </c>
      <c r="D89" s="28" t="s">
        <v>241</v>
      </c>
      <c r="E89" s="27" t="s">
        <v>25</v>
      </c>
      <c r="F89" s="50">
        <f>6.75*0.8*2</f>
        <v>10.8</v>
      </c>
      <c r="G89" s="163">
        <v>566000</v>
      </c>
      <c r="H89" s="24">
        <v>0.4</v>
      </c>
      <c r="I89" s="44">
        <v>1</v>
      </c>
      <c r="J89" s="22">
        <f t="shared" si="5"/>
        <v>2445000</v>
      </c>
      <c r="K89" s="33">
        <f t="shared" si="4"/>
        <v>2445000</v>
      </c>
      <c r="L89" s="20"/>
      <c r="M89" s="19"/>
      <c r="N89" s="19"/>
    </row>
    <row r="90" spans="1:14" s="159" customFormat="1" ht="65.25" customHeight="1">
      <c r="A90" s="30"/>
      <c r="B90" s="30"/>
      <c r="C90" s="167" t="s">
        <v>170</v>
      </c>
      <c r="D90" s="166" t="s">
        <v>169</v>
      </c>
      <c r="E90" s="165" t="s">
        <v>168</v>
      </c>
      <c r="F90" s="164">
        <v>1</v>
      </c>
      <c r="G90" s="163">
        <f>J89</f>
        <v>2445000</v>
      </c>
      <c r="H90" s="162">
        <v>0.3</v>
      </c>
      <c r="I90" s="161">
        <v>1</v>
      </c>
      <c r="J90" s="160">
        <f t="shared" si="5"/>
        <v>734000</v>
      </c>
      <c r="K90" s="33">
        <f t="shared" si="4"/>
        <v>734000</v>
      </c>
    </row>
    <row r="91" spans="1:14" s="42" customFormat="1" ht="47.25">
      <c r="A91" s="30"/>
      <c r="B91" s="30"/>
      <c r="C91" s="49" t="s">
        <v>240</v>
      </c>
      <c r="D91" s="81" t="s">
        <v>207</v>
      </c>
      <c r="E91" s="81" t="s">
        <v>4</v>
      </c>
      <c r="F91" s="80">
        <v>8</v>
      </c>
      <c r="G91" s="163">
        <v>13630</v>
      </c>
      <c r="H91" s="78">
        <v>1</v>
      </c>
      <c r="I91" s="77">
        <v>1</v>
      </c>
      <c r="J91" s="76">
        <f t="shared" si="5"/>
        <v>109000</v>
      </c>
      <c r="K91" s="33">
        <f t="shared" si="4"/>
        <v>109000</v>
      </c>
      <c r="L91" s="20"/>
      <c r="M91" s="19"/>
      <c r="N91" s="19"/>
    </row>
    <row r="92" spans="1:14" s="42" customFormat="1" ht="47.25">
      <c r="A92" s="30"/>
      <c r="B92" s="30"/>
      <c r="C92" s="49" t="s">
        <v>239</v>
      </c>
      <c r="D92" s="81" t="s">
        <v>207</v>
      </c>
      <c r="E92" s="81" t="s">
        <v>4</v>
      </c>
      <c r="F92" s="80">
        <v>6</v>
      </c>
      <c r="G92" s="163">
        <v>28120</v>
      </c>
      <c r="H92" s="78">
        <v>1</v>
      </c>
      <c r="I92" s="77">
        <v>1</v>
      </c>
      <c r="J92" s="76">
        <f t="shared" si="5"/>
        <v>169000</v>
      </c>
      <c r="K92" s="33">
        <f t="shared" si="4"/>
        <v>169000</v>
      </c>
      <c r="L92" s="20"/>
      <c r="M92" s="19"/>
      <c r="N92" s="19"/>
    </row>
    <row r="93" spans="1:14" s="42" customFormat="1" ht="47.25">
      <c r="A93" s="30"/>
      <c r="B93" s="30"/>
      <c r="C93" s="49" t="s">
        <v>238</v>
      </c>
      <c r="D93" s="81" t="s">
        <v>207</v>
      </c>
      <c r="E93" s="81" t="s">
        <v>4</v>
      </c>
      <c r="F93" s="80">
        <v>17</v>
      </c>
      <c r="G93" s="163">
        <v>28120</v>
      </c>
      <c r="H93" s="78">
        <v>1</v>
      </c>
      <c r="I93" s="77">
        <v>1</v>
      </c>
      <c r="J93" s="76">
        <f t="shared" si="5"/>
        <v>478000</v>
      </c>
      <c r="K93" s="33">
        <f t="shared" si="4"/>
        <v>478000</v>
      </c>
      <c r="L93" s="20"/>
      <c r="M93" s="19"/>
      <c r="N93" s="19"/>
    </row>
    <row r="94" spans="1:14" s="42" customFormat="1" ht="47.25">
      <c r="A94" s="30"/>
      <c r="B94" s="30"/>
      <c r="C94" s="49" t="s">
        <v>237</v>
      </c>
      <c r="D94" s="81" t="s">
        <v>204</v>
      </c>
      <c r="E94" s="81" t="s">
        <v>4</v>
      </c>
      <c r="F94" s="80">
        <v>2</v>
      </c>
      <c r="G94" s="163">
        <v>16590</v>
      </c>
      <c r="H94" s="78">
        <v>1</v>
      </c>
      <c r="I94" s="77">
        <v>1</v>
      </c>
      <c r="J94" s="76">
        <f t="shared" si="5"/>
        <v>33000</v>
      </c>
      <c r="K94" s="33">
        <f t="shared" si="4"/>
        <v>33000</v>
      </c>
      <c r="L94" s="20"/>
      <c r="M94" s="19"/>
      <c r="N94" s="19"/>
    </row>
    <row r="95" spans="1:14" s="42" customFormat="1" ht="47.25">
      <c r="A95" s="30"/>
      <c r="B95" s="30"/>
      <c r="C95" s="49" t="s">
        <v>236</v>
      </c>
      <c r="D95" s="81" t="s">
        <v>235</v>
      </c>
      <c r="E95" s="81" t="s">
        <v>4</v>
      </c>
      <c r="F95" s="80">
        <v>3</v>
      </c>
      <c r="G95" s="163">
        <v>13630</v>
      </c>
      <c r="H95" s="78">
        <v>1</v>
      </c>
      <c r="I95" s="77">
        <v>1</v>
      </c>
      <c r="J95" s="76">
        <f t="shared" si="5"/>
        <v>41000</v>
      </c>
      <c r="K95" s="33">
        <f t="shared" si="4"/>
        <v>41000</v>
      </c>
      <c r="L95" s="20"/>
      <c r="M95" s="19"/>
      <c r="N95" s="19"/>
    </row>
    <row r="96" spans="1:14" s="42" customFormat="1" ht="31.5">
      <c r="A96" s="30"/>
      <c r="B96" s="30"/>
      <c r="C96" s="49" t="s">
        <v>234</v>
      </c>
      <c r="D96" s="81" t="s">
        <v>5</v>
      </c>
      <c r="E96" s="81" t="s">
        <v>4</v>
      </c>
      <c r="F96" s="26">
        <v>325</v>
      </c>
      <c r="G96" s="163">
        <v>26730</v>
      </c>
      <c r="H96" s="78">
        <v>1</v>
      </c>
      <c r="I96" s="77">
        <v>1</v>
      </c>
      <c r="J96" s="76">
        <f t="shared" si="5"/>
        <v>8687000</v>
      </c>
      <c r="K96" s="33">
        <f t="shared" si="4"/>
        <v>8687000</v>
      </c>
      <c r="L96" s="20"/>
      <c r="M96" s="19"/>
      <c r="N96" s="19"/>
    </row>
    <row r="97" spans="1:14" s="42" customFormat="1" ht="40.5" customHeight="1">
      <c r="A97" s="30">
        <v>6</v>
      </c>
      <c r="B97" s="30">
        <v>48</v>
      </c>
      <c r="C97" s="283" t="s">
        <v>233</v>
      </c>
      <c r="D97" s="283"/>
      <c r="E97" s="283"/>
      <c r="F97" s="283"/>
      <c r="G97" s="283"/>
      <c r="H97" s="283"/>
      <c r="I97" s="30"/>
      <c r="J97" s="75">
        <f>SUM(J99:J117)</f>
        <v>21009000</v>
      </c>
      <c r="K97" s="33">
        <f t="shared" si="4"/>
        <v>0</v>
      </c>
      <c r="L97" s="20"/>
      <c r="M97" s="19"/>
      <c r="N97" s="19"/>
    </row>
    <row r="98" spans="1:14" s="53" customFormat="1" ht="73.5" customHeight="1">
      <c r="A98" s="62"/>
      <c r="B98" s="61"/>
      <c r="C98" s="198" t="s">
        <v>200</v>
      </c>
      <c r="D98" s="197"/>
      <c r="E98" s="196"/>
      <c r="F98" s="195"/>
      <c r="G98" s="194"/>
      <c r="H98" s="193"/>
      <c r="I98" s="192"/>
      <c r="J98" s="191">
        <f>ROUND(F98*G98*H98*I98,-3)</f>
        <v>0</v>
      </c>
      <c r="K98" s="33">
        <f t="shared" si="4"/>
        <v>0</v>
      </c>
    </row>
    <row r="99" spans="1:14" s="42" customFormat="1" ht="63">
      <c r="A99" s="30"/>
      <c r="B99" s="30"/>
      <c r="C99" s="49" t="s">
        <v>232</v>
      </c>
      <c r="D99" s="28" t="s">
        <v>43</v>
      </c>
      <c r="E99" s="27" t="s">
        <v>2</v>
      </c>
      <c r="F99" s="26">
        <f>0.25*0.25*2.5* 4 +0.25*0.25*2.5*2</f>
        <v>0.9375</v>
      </c>
      <c r="G99" s="163">
        <v>2828000</v>
      </c>
      <c r="H99" s="85">
        <v>0.4</v>
      </c>
      <c r="I99" s="84">
        <v>1</v>
      </c>
      <c r="J99" s="22">
        <f>ROUND(F99*G99*H99*I99,-3)</f>
        <v>1061000</v>
      </c>
      <c r="K99" s="33">
        <f t="shared" si="4"/>
        <v>1061000</v>
      </c>
      <c r="L99" s="20"/>
      <c r="M99" s="19"/>
      <c r="N99" s="19"/>
    </row>
    <row r="100" spans="1:14" s="159" customFormat="1" ht="65.25" customHeight="1">
      <c r="A100" s="30"/>
      <c r="B100" s="30"/>
      <c r="C100" s="167" t="s">
        <v>170</v>
      </c>
      <c r="D100" s="166" t="s">
        <v>169</v>
      </c>
      <c r="E100" s="165" t="s">
        <v>168</v>
      </c>
      <c r="F100" s="164">
        <v>1</v>
      </c>
      <c r="G100" s="163">
        <f>J99</f>
        <v>1061000</v>
      </c>
      <c r="H100" s="162">
        <v>0.3</v>
      </c>
      <c r="I100" s="161">
        <v>1</v>
      </c>
      <c r="J100" s="160">
        <f>ROUND(F100*G100*H100*I100,-3)</f>
        <v>318000</v>
      </c>
      <c r="K100" s="33">
        <f t="shared" si="4"/>
        <v>318000</v>
      </c>
    </row>
    <row r="101" spans="1:14" s="42" customFormat="1" ht="47.25">
      <c r="A101" s="30"/>
      <c r="B101" s="30"/>
      <c r="C101" s="49" t="s">
        <v>231</v>
      </c>
      <c r="D101" s="28" t="s">
        <v>123</v>
      </c>
      <c r="E101" s="27" t="s">
        <v>25</v>
      </c>
      <c r="F101" s="26">
        <f>(3.3+3)*0.9+1.6*4.6</f>
        <v>13.03</v>
      </c>
      <c r="G101" s="163">
        <v>679000</v>
      </c>
      <c r="H101" s="24">
        <v>0.4</v>
      </c>
      <c r="I101" s="44">
        <v>1</v>
      </c>
      <c r="J101" s="201">
        <f>ROUND(F101*G101*H101*I101,-3)</f>
        <v>3539000</v>
      </c>
      <c r="K101" s="33">
        <f t="shared" si="4"/>
        <v>3539000</v>
      </c>
      <c r="L101" s="20"/>
      <c r="M101" s="19"/>
      <c r="N101" s="19"/>
    </row>
    <row r="102" spans="1:14" s="159" customFormat="1" ht="65.25" customHeight="1">
      <c r="A102" s="30"/>
      <c r="B102" s="30"/>
      <c r="C102" s="167" t="s">
        <v>170</v>
      </c>
      <c r="D102" s="166" t="s">
        <v>169</v>
      </c>
      <c r="E102" s="165" t="s">
        <v>168</v>
      </c>
      <c r="F102" s="164">
        <v>1</v>
      </c>
      <c r="G102" s="163">
        <f>J101</f>
        <v>3539000</v>
      </c>
      <c r="H102" s="162">
        <v>0.3</v>
      </c>
      <c r="I102" s="161">
        <v>1</v>
      </c>
      <c r="J102" s="160">
        <f>ROUND(F102*G102*H102*I102,-3)</f>
        <v>1062000</v>
      </c>
      <c r="K102" s="33">
        <f t="shared" ref="K102:K133" si="6">ROUND(F102*G102*H102*I102,-3)</f>
        <v>1062000</v>
      </c>
    </row>
    <row r="103" spans="1:14" s="42" customFormat="1" ht="47.25">
      <c r="A103" s="30"/>
      <c r="B103" s="30"/>
      <c r="C103" s="49" t="s">
        <v>230</v>
      </c>
      <c r="D103" s="48" t="s">
        <v>8</v>
      </c>
      <c r="E103" s="47" t="s">
        <v>7</v>
      </c>
      <c r="F103" s="26">
        <f>7.2*1.6+10.2*1.2+13.6*1.2</f>
        <v>40.08</v>
      </c>
      <c r="G103" s="163">
        <v>11000</v>
      </c>
      <c r="H103" s="45">
        <v>0.4</v>
      </c>
      <c r="I103" s="84">
        <v>1</v>
      </c>
      <c r="J103" s="43">
        <f>ROUND((F103*G103*H103*I103),-3)</f>
        <v>176000</v>
      </c>
      <c r="K103" s="33">
        <f t="shared" si="6"/>
        <v>176000</v>
      </c>
      <c r="L103" s="20"/>
      <c r="M103" s="19"/>
      <c r="N103" s="19"/>
    </row>
    <row r="104" spans="1:14" s="159" customFormat="1" ht="65.25" customHeight="1">
      <c r="A104" s="30"/>
      <c r="B104" s="30"/>
      <c r="C104" s="167" t="s">
        <v>170</v>
      </c>
      <c r="D104" s="166" t="s">
        <v>169</v>
      </c>
      <c r="E104" s="165" t="s">
        <v>168</v>
      </c>
      <c r="F104" s="164">
        <v>1</v>
      </c>
      <c r="G104" s="163">
        <f>J103</f>
        <v>176000</v>
      </c>
      <c r="H104" s="162">
        <v>0.3</v>
      </c>
      <c r="I104" s="161">
        <v>1</v>
      </c>
      <c r="J104" s="160">
        <f t="shared" ref="J104:J111" si="7">ROUND(F104*G104*H104*I104,-3)</f>
        <v>53000</v>
      </c>
      <c r="K104" s="33">
        <f t="shared" si="6"/>
        <v>53000</v>
      </c>
    </row>
    <row r="105" spans="1:14" s="42" customFormat="1" ht="31.5">
      <c r="A105" s="30"/>
      <c r="B105" s="30"/>
      <c r="C105" s="49" t="s">
        <v>229</v>
      </c>
      <c r="D105" s="81" t="s">
        <v>5</v>
      </c>
      <c r="E105" s="81" t="s">
        <v>4</v>
      </c>
      <c r="F105" s="26">
        <v>102</v>
      </c>
      <c r="G105" s="163">
        <v>26730</v>
      </c>
      <c r="H105" s="78">
        <v>1</v>
      </c>
      <c r="I105" s="77">
        <v>1</v>
      </c>
      <c r="J105" s="76">
        <f t="shared" si="7"/>
        <v>2726000</v>
      </c>
      <c r="K105" s="33">
        <f t="shared" si="6"/>
        <v>2726000</v>
      </c>
      <c r="L105" s="20"/>
      <c r="M105" s="19"/>
      <c r="N105" s="19"/>
    </row>
    <row r="106" spans="1:14" s="42" customFormat="1" ht="31.5">
      <c r="A106" s="30"/>
      <c r="B106" s="30"/>
      <c r="C106" s="49" t="s">
        <v>228</v>
      </c>
      <c r="D106" s="81" t="s">
        <v>61</v>
      </c>
      <c r="E106" s="81" t="s">
        <v>4</v>
      </c>
      <c r="F106" s="80">
        <v>2</v>
      </c>
      <c r="G106" s="163">
        <v>53260</v>
      </c>
      <c r="H106" s="78">
        <v>1</v>
      </c>
      <c r="I106" s="77">
        <v>1</v>
      </c>
      <c r="J106" s="76">
        <f t="shared" si="7"/>
        <v>107000</v>
      </c>
      <c r="K106" s="33">
        <f t="shared" si="6"/>
        <v>107000</v>
      </c>
      <c r="L106" s="20"/>
      <c r="M106" s="19"/>
      <c r="N106" s="19"/>
    </row>
    <row r="107" spans="1:14" s="42" customFormat="1" ht="31.5">
      <c r="A107" s="30"/>
      <c r="B107" s="30"/>
      <c r="C107" s="49" t="s">
        <v>227</v>
      </c>
      <c r="D107" s="81" t="s">
        <v>30</v>
      </c>
      <c r="E107" s="83" t="s">
        <v>4</v>
      </c>
      <c r="F107" s="26">
        <v>1</v>
      </c>
      <c r="G107" s="163">
        <v>165090</v>
      </c>
      <c r="H107" s="78">
        <v>1</v>
      </c>
      <c r="I107" s="83">
        <v>1</v>
      </c>
      <c r="J107" s="76">
        <f t="shared" si="7"/>
        <v>165000</v>
      </c>
      <c r="K107" s="33">
        <f t="shared" si="6"/>
        <v>165000</v>
      </c>
      <c r="L107" s="20"/>
      <c r="M107" s="19"/>
      <c r="N107" s="19"/>
    </row>
    <row r="108" spans="1:14" s="42" customFormat="1" ht="31.5">
      <c r="A108" s="30"/>
      <c r="B108" s="30"/>
      <c r="C108" s="49" t="s">
        <v>226</v>
      </c>
      <c r="D108" s="81" t="s">
        <v>225</v>
      </c>
      <c r="E108" s="81" t="s">
        <v>4</v>
      </c>
      <c r="F108" s="80">
        <v>2</v>
      </c>
      <c r="G108" s="163">
        <v>10650</v>
      </c>
      <c r="H108" s="78">
        <v>1</v>
      </c>
      <c r="I108" s="77">
        <v>1</v>
      </c>
      <c r="J108" s="76">
        <f t="shared" si="7"/>
        <v>21000</v>
      </c>
      <c r="K108" s="33">
        <f t="shared" si="6"/>
        <v>21000</v>
      </c>
      <c r="L108" s="20"/>
      <c r="M108" s="19"/>
      <c r="N108" s="19"/>
    </row>
    <row r="109" spans="1:14" s="42" customFormat="1" ht="31.5">
      <c r="A109" s="30"/>
      <c r="B109" s="30"/>
      <c r="C109" s="49" t="s">
        <v>224</v>
      </c>
      <c r="D109" s="81" t="s">
        <v>223</v>
      </c>
      <c r="E109" s="81" t="s">
        <v>25</v>
      </c>
      <c r="F109" s="80">
        <v>3</v>
      </c>
      <c r="G109" s="163">
        <v>3510</v>
      </c>
      <c r="H109" s="78">
        <v>1</v>
      </c>
      <c r="I109" s="77">
        <v>1</v>
      </c>
      <c r="J109" s="76">
        <f t="shared" si="7"/>
        <v>11000</v>
      </c>
      <c r="K109" s="33">
        <f t="shared" si="6"/>
        <v>11000</v>
      </c>
      <c r="L109" s="20"/>
      <c r="M109" s="19"/>
      <c r="N109" s="19"/>
    </row>
    <row r="110" spans="1:14" s="42" customFormat="1" ht="63">
      <c r="A110" s="30"/>
      <c r="B110" s="30"/>
      <c r="C110" s="49" t="s">
        <v>222</v>
      </c>
      <c r="D110" s="28" t="s">
        <v>43</v>
      </c>
      <c r="E110" s="27" t="s">
        <v>2</v>
      </c>
      <c r="F110" s="50">
        <f>0.2*0.05*0.6</f>
        <v>6.000000000000001E-3</v>
      </c>
      <c r="G110" s="163">
        <v>2828000</v>
      </c>
      <c r="H110" s="24">
        <v>0.4</v>
      </c>
      <c r="I110" s="44">
        <v>1</v>
      </c>
      <c r="J110" s="22">
        <f t="shared" si="7"/>
        <v>7000</v>
      </c>
      <c r="K110" s="33">
        <f t="shared" si="6"/>
        <v>7000</v>
      </c>
      <c r="L110" s="20"/>
      <c r="M110" s="19"/>
      <c r="N110" s="19"/>
    </row>
    <row r="111" spans="1:14" s="159" customFormat="1" ht="65.25" customHeight="1">
      <c r="A111" s="30"/>
      <c r="B111" s="30"/>
      <c r="C111" s="167" t="s">
        <v>170</v>
      </c>
      <c r="D111" s="166" t="s">
        <v>169</v>
      </c>
      <c r="E111" s="165" t="s">
        <v>168</v>
      </c>
      <c r="F111" s="164">
        <v>1</v>
      </c>
      <c r="G111" s="163">
        <f>J110</f>
        <v>7000</v>
      </c>
      <c r="H111" s="162">
        <v>0.3</v>
      </c>
      <c r="I111" s="161">
        <v>1</v>
      </c>
      <c r="J111" s="160">
        <f t="shared" si="7"/>
        <v>2000</v>
      </c>
      <c r="K111" s="33">
        <f t="shared" si="6"/>
        <v>2000</v>
      </c>
    </row>
    <row r="112" spans="1:14" s="42" customFormat="1" ht="38.25" customHeight="1">
      <c r="A112" s="30"/>
      <c r="B112" s="30"/>
      <c r="C112" s="49" t="s">
        <v>221</v>
      </c>
      <c r="D112" s="295" t="s">
        <v>220</v>
      </c>
      <c r="E112" s="296"/>
      <c r="F112" s="296"/>
      <c r="G112" s="296"/>
      <c r="H112" s="296"/>
      <c r="I112" s="296"/>
      <c r="J112" s="200"/>
      <c r="K112" s="33">
        <f t="shared" si="6"/>
        <v>0</v>
      </c>
      <c r="L112" s="20"/>
      <c r="M112" s="19"/>
      <c r="N112" s="19"/>
    </row>
    <row r="113" spans="1:14" s="42" customFormat="1" ht="47.25">
      <c r="A113" s="30"/>
      <c r="B113" s="30"/>
      <c r="C113" s="49" t="s">
        <v>219</v>
      </c>
      <c r="D113" s="28" t="s">
        <v>45</v>
      </c>
      <c r="E113" s="27" t="s">
        <v>25</v>
      </c>
      <c r="F113" s="26">
        <f>13.6*1.6</f>
        <v>21.76</v>
      </c>
      <c r="G113" s="163">
        <v>792000</v>
      </c>
      <c r="H113" s="86">
        <v>0.4</v>
      </c>
      <c r="I113" s="44">
        <v>1</v>
      </c>
      <c r="J113" s="22">
        <f>ROUND(F113*G113*H113*I113,-3)</f>
        <v>6894000</v>
      </c>
      <c r="K113" s="33">
        <f t="shared" si="6"/>
        <v>6894000</v>
      </c>
      <c r="L113" s="20"/>
      <c r="M113" s="19"/>
      <c r="N113" s="19"/>
    </row>
    <row r="114" spans="1:14" s="159" customFormat="1" ht="65.25" customHeight="1">
      <c r="A114" s="30"/>
      <c r="B114" s="30"/>
      <c r="C114" s="167" t="s">
        <v>170</v>
      </c>
      <c r="D114" s="166" t="s">
        <v>169</v>
      </c>
      <c r="E114" s="165" t="s">
        <v>168</v>
      </c>
      <c r="F114" s="164">
        <v>1</v>
      </c>
      <c r="G114" s="163">
        <f>J113</f>
        <v>6894000</v>
      </c>
      <c r="H114" s="162">
        <v>0.3</v>
      </c>
      <c r="I114" s="161">
        <v>1</v>
      </c>
      <c r="J114" s="160">
        <f>ROUND(F114*G114*H114*I114,-3)</f>
        <v>2068000</v>
      </c>
      <c r="K114" s="33">
        <f t="shared" si="6"/>
        <v>2068000</v>
      </c>
    </row>
    <row r="115" spans="1:14" s="42" customFormat="1" ht="63">
      <c r="A115" s="30"/>
      <c r="B115" s="30"/>
      <c r="C115" s="49" t="s">
        <v>218</v>
      </c>
      <c r="D115" s="28" t="s">
        <v>43</v>
      </c>
      <c r="E115" s="27" t="s">
        <v>2</v>
      </c>
      <c r="F115" s="26">
        <f>0.35*0.35*1.8*8</f>
        <v>1.7639999999999998</v>
      </c>
      <c r="G115" s="163">
        <v>2828000</v>
      </c>
      <c r="H115" s="85">
        <v>0.4</v>
      </c>
      <c r="I115" s="84">
        <v>1</v>
      </c>
      <c r="J115" s="22">
        <f>ROUND(F115*G115*H115*I115,-3)</f>
        <v>1995000</v>
      </c>
      <c r="K115" s="33">
        <f t="shared" si="6"/>
        <v>1995000</v>
      </c>
      <c r="L115" s="20"/>
      <c r="M115" s="19"/>
      <c r="N115" s="19"/>
    </row>
    <row r="116" spans="1:14" s="159" customFormat="1" ht="65.25" customHeight="1">
      <c r="A116" s="30"/>
      <c r="B116" s="30"/>
      <c r="C116" s="167" t="s">
        <v>170</v>
      </c>
      <c r="D116" s="166" t="s">
        <v>169</v>
      </c>
      <c r="E116" s="165" t="s">
        <v>168</v>
      </c>
      <c r="F116" s="164">
        <v>1</v>
      </c>
      <c r="G116" s="163">
        <f>J115</f>
        <v>1995000</v>
      </c>
      <c r="H116" s="162">
        <v>0.3</v>
      </c>
      <c r="I116" s="161">
        <v>1</v>
      </c>
      <c r="J116" s="160">
        <f>ROUND(F116*G116*H116*I116,-3)</f>
        <v>599000</v>
      </c>
      <c r="K116" s="33">
        <f t="shared" si="6"/>
        <v>599000</v>
      </c>
    </row>
    <row r="117" spans="1:14" s="42" customFormat="1" ht="31.5">
      <c r="A117" s="30"/>
      <c r="B117" s="30"/>
      <c r="C117" s="49" t="s">
        <v>217</v>
      </c>
      <c r="D117" s="81" t="s">
        <v>32</v>
      </c>
      <c r="E117" s="81" t="s">
        <v>4</v>
      </c>
      <c r="F117" s="26">
        <v>5</v>
      </c>
      <c r="G117" s="163">
        <v>41010</v>
      </c>
      <c r="H117" s="78">
        <v>1</v>
      </c>
      <c r="I117" s="83">
        <v>1</v>
      </c>
      <c r="J117" s="43">
        <f>ROUND(F117*G117*H117*I117,-3)</f>
        <v>205000</v>
      </c>
      <c r="K117" s="33">
        <f t="shared" si="6"/>
        <v>205000</v>
      </c>
      <c r="L117" s="20"/>
      <c r="M117" s="19"/>
      <c r="N117" s="19"/>
    </row>
    <row r="118" spans="1:14" s="42" customFormat="1" ht="40.5" customHeight="1">
      <c r="A118" s="30">
        <v>7</v>
      </c>
      <c r="B118" s="30">
        <v>121</v>
      </c>
      <c r="C118" s="283" t="s">
        <v>216</v>
      </c>
      <c r="D118" s="283"/>
      <c r="E118" s="283"/>
      <c r="F118" s="283"/>
      <c r="G118" s="283"/>
      <c r="H118" s="283"/>
      <c r="I118" s="30"/>
      <c r="J118" s="75">
        <f>SUM(J120:J130)</f>
        <v>10101000</v>
      </c>
      <c r="K118" s="33">
        <f t="shared" si="6"/>
        <v>0</v>
      </c>
      <c r="L118" s="20"/>
      <c r="M118" s="19"/>
      <c r="N118" s="19"/>
    </row>
    <row r="119" spans="1:14" s="53" customFormat="1" ht="73.5" customHeight="1">
      <c r="A119" s="62"/>
      <c r="B119" s="61"/>
      <c r="C119" s="198" t="s">
        <v>200</v>
      </c>
      <c r="D119" s="197"/>
      <c r="E119" s="196"/>
      <c r="F119" s="195"/>
      <c r="G119" s="194"/>
      <c r="H119" s="193"/>
      <c r="I119" s="192"/>
      <c r="J119" s="191">
        <f t="shared" ref="J119:J130" si="8">ROUND(F119*G119*H119*I119,-3)</f>
        <v>0</v>
      </c>
      <c r="K119" s="33">
        <f t="shared" si="6"/>
        <v>0</v>
      </c>
    </row>
    <row r="120" spans="1:14" s="42" customFormat="1" ht="63">
      <c r="A120" s="30"/>
      <c r="B120" s="30"/>
      <c r="C120" s="49" t="s">
        <v>215</v>
      </c>
      <c r="D120" s="28" t="s">
        <v>43</v>
      </c>
      <c r="E120" s="27" t="s">
        <v>2</v>
      </c>
      <c r="F120" s="50">
        <f>0.4*0.4*2*2 +0.4*0.4*1.3*2</f>
        <v>1.0560000000000003</v>
      </c>
      <c r="G120" s="79">
        <v>2828000</v>
      </c>
      <c r="H120" s="24">
        <v>0.8</v>
      </c>
      <c r="I120" s="44">
        <v>1</v>
      </c>
      <c r="J120" s="22">
        <f t="shared" si="8"/>
        <v>2389000</v>
      </c>
      <c r="K120" s="33">
        <f t="shared" si="6"/>
        <v>2389000</v>
      </c>
      <c r="L120" s="20"/>
      <c r="M120" s="19"/>
      <c r="N120" s="19"/>
    </row>
    <row r="121" spans="1:14" s="42" customFormat="1" ht="47.25">
      <c r="A121" s="30"/>
      <c r="B121" s="30"/>
      <c r="C121" s="49" t="s">
        <v>214</v>
      </c>
      <c r="D121" s="28" t="s">
        <v>45</v>
      </c>
      <c r="E121" s="27" t="s">
        <v>25</v>
      </c>
      <c r="F121" s="26">
        <f>5.2*0.05+3.2*0.6</f>
        <v>2.1799999999999997</v>
      </c>
      <c r="G121" s="79">
        <v>792000</v>
      </c>
      <c r="H121" s="86">
        <v>0.8</v>
      </c>
      <c r="I121" s="44">
        <v>1</v>
      </c>
      <c r="J121" s="22">
        <f t="shared" si="8"/>
        <v>1381000</v>
      </c>
      <c r="K121" s="33">
        <f t="shared" si="6"/>
        <v>1381000</v>
      </c>
      <c r="L121" s="20"/>
      <c r="M121" s="19"/>
      <c r="N121" s="19"/>
    </row>
    <row r="122" spans="1:14" s="42" customFormat="1" ht="47.25">
      <c r="A122" s="30"/>
      <c r="B122" s="30"/>
      <c r="C122" s="49" t="s">
        <v>213</v>
      </c>
      <c r="D122" s="94" t="s">
        <v>17</v>
      </c>
      <c r="E122" s="93" t="s">
        <v>25</v>
      </c>
      <c r="F122" s="92">
        <f>1.6*2+4.2*0.7</f>
        <v>6.1400000000000006</v>
      </c>
      <c r="G122" s="79">
        <v>215000</v>
      </c>
      <c r="H122" s="90">
        <v>0.8</v>
      </c>
      <c r="I122" s="89">
        <v>1</v>
      </c>
      <c r="J122" s="88">
        <f t="shared" si="8"/>
        <v>1056000</v>
      </c>
      <c r="K122" s="33">
        <f t="shared" si="6"/>
        <v>1056000</v>
      </c>
      <c r="L122" s="20"/>
      <c r="M122" s="19"/>
      <c r="N122" s="19"/>
    </row>
    <row r="123" spans="1:14" s="42" customFormat="1" ht="31.5">
      <c r="A123" s="30"/>
      <c r="B123" s="30"/>
      <c r="C123" s="49" t="s">
        <v>212</v>
      </c>
      <c r="D123" s="81" t="s">
        <v>211</v>
      </c>
      <c r="E123" s="81" t="s">
        <v>4</v>
      </c>
      <c r="F123" s="80">
        <v>1</v>
      </c>
      <c r="G123" s="79">
        <v>374920</v>
      </c>
      <c r="H123" s="78">
        <v>1</v>
      </c>
      <c r="I123" s="77">
        <v>1</v>
      </c>
      <c r="J123" s="76">
        <f t="shared" si="8"/>
        <v>375000</v>
      </c>
      <c r="K123" s="33">
        <f t="shared" si="6"/>
        <v>375000</v>
      </c>
      <c r="L123" s="20"/>
      <c r="M123" s="19"/>
      <c r="N123" s="19"/>
    </row>
    <row r="124" spans="1:14" s="42" customFormat="1" ht="31.5">
      <c r="A124" s="30"/>
      <c r="B124" s="30"/>
      <c r="C124" s="49" t="s">
        <v>210</v>
      </c>
      <c r="D124" s="81" t="s">
        <v>61</v>
      </c>
      <c r="E124" s="81" t="s">
        <v>4</v>
      </c>
      <c r="F124" s="80">
        <v>2</v>
      </c>
      <c r="G124" s="79">
        <v>1065100</v>
      </c>
      <c r="H124" s="78">
        <v>1</v>
      </c>
      <c r="I124" s="77">
        <v>1</v>
      </c>
      <c r="J124" s="76">
        <f t="shared" si="8"/>
        <v>2130000</v>
      </c>
      <c r="K124" s="33">
        <f t="shared" si="6"/>
        <v>2130000</v>
      </c>
      <c r="L124" s="20"/>
      <c r="M124" s="19"/>
      <c r="N124" s="19"/>
    </row>
    <row r="125" spans="1:14" s="42" customFormat="1" ht="31.5">
      <c r="A125" s="30"/>
      <c r="B125" s="30"/>
      <c r="C125" s="49" t="s">
        <v>209</v>
      </c>
      <c r="D125" s="81" t="s">
        <v>61</v>
      </c>
      <c r="E125" s="81" t="s">
        <v>4</v>
      </c>
      <c r="F125" s="80">
        <v>1</v>
      </c>
      <c r="G125" s="79">
        <v>1065100</v>
      </c>
      <c r="H125" s="78">
        <v>1</v>
      </c>
      <c r="I125" s="77">
        <v>1</v>
      </c>
      <c r="J125" s="76">
        <f t="shared" si="8"/>
        <v>1065000</v>
      </c>
      <c r="K125" s="33">
        <f t="shared" si="6"/>
        <v>1065000</v>
      </c>
      <c r="L125" s="20"/>
      <c r="M125" s="19"/>
      <c r="N125" s="19"/>
    </row>
    <row r="126" spans="1:14" s="42" customFormat="1" ht="47.25">
      <c r="A126" s="30"/>
      <c r="B126" s="30"/>
      <c r="C126" s="49" t="s">
        <v>208</v>
      </c>
      <c r="D126" s="81" t="s">
        <v>207</v>
      </c>
      <c r="E126" s="81" t="s">
        <v>4</v>
      </c>
      <c r="F126" s="80">
        <v>4</v>
      </c>
      <c r="G126" s="79">
        <v>13630</v>
      </c>
      <c r="H126" s="78">
        <v>1</v>
      </c>
      <c r="I126" s="77">
        <v>1</v>
      </c>
      <c r="J126" s="76">
        <f t="shared" si="8"/>
        <v>55000</v>
      </c>
      <c r="K126" s="33">
        <f t="shared" si="6"/>
        <v>55000</v>
      </c>
      <c r="L126" s="20"/>
      <c r="M126" s="19"/>
      <c r="N126" s="19"/>
    </row>
    <row r="127" spans="1:14" s="42" customFormat="1" ht="47.25">
      <c r="A127" s="30"/>
      <c r="B127" s="30"/>
      <c r="C127" s="49" t="s">
        <v>206</v>
      </c>
      <c r="D127" s="81" t="s">
        <v>204</v>
      </c>
      <c r="E127" s="81" t="s">
        <v>4</v>
      </c>
      <c r="F127" s="80">
        <v>19</v>
      </c>
      <c r="G127" s="79">
        <v>51450</v>
      </c>
      <c r="H127" s="78">
        <v>1</v>
      </c>
      <c r="I127" s="77">
        <v>1</v>
      </c>
      <c r="J127" s="76">
        <f t="shared" si="8"/>
        <v>978000</v>
      </c>
      <c r="K127" s="33">
        <f t="shared" si="6"/>
        <v>978000</v>
      </c>
      <c r="L127" s="20"/>
      <c r="M127" s="19"/>
      <c r="N127" s="19"/>
    </row>
    <row r="128" spans="1:14" s="42" customFormat="1" ht="47.25">
      <c r="A128" s="30"/>
      <c r="B128" s="30"/>
      <c r="C128" s="49" t="s">
        <v>205</v>
      </c>
      <c r="D128" s="81" t="s">
        <v>204</v>
      </c>
      <c r="E128" s="81" t="s">
        <v>4</v>
      </c>
      <c r="F128" s="80">
        <v>10</v>
      </c>
      <c r="G128" s="79">
        <v>16590</v>
      </c>
      <c r="H128" s="78">
        <v>1</v>
      </c>
      <c r="I128" s="77">
        <v>1</v>
      </c>
      <c r="J128" s="76">
        <f t="shared" si="8"/>
        <v>166000</v>
      </c>
      <c r="K128" s="33">
        <f t="shared" si="6"/>
        <v>166000</v>
      </c>
      <c r="L128" s="20"/>
      <c r="M128" s="19"/>
      <c r="N128" s="19"/>
    </row>
    <row r="129" spans="1:14" s="42" customFormat="1" ht="31.5">
      <c r="A129" s="30"/>
      <c r="B129" s="30"/>
      <c r="C129" s="49" t="s">
        <v>203</v>
      </c>
      <c r="D129" s="81" t="s">
        <v>5</v>
      </c>
      <c r="E129" s="81" t="s">
        <v>4</v>
      </c>
      <c r="F129" s="26">
        <v>15</v>
      </c>
      <c r="G129" s="79">
        <v>26730</v>
      </c>
      <c r="H129" s="78">
        <v>1</v>
      </c>
      <c r="I129" s="77">
        <v>1</v>
      </c>
      <c r="J129" s="76">
        <f t="shared" si="8"/>
        <v>401000</v>
      </c>
      <c r="K129" s="33">
        <f t="shared" si="6"/>
        <v>401000</v>
      </c>
      <c r="L129" s="20"/>
      <c r="M129" s="19"/>
      <c r="N129" s="19"/>
    </row>
    <row r="130" spans="1:14" s="42" customFormat="1" ht="31.5">
      <c r="A130" s="30"/>
      <c r="B130" s="30"/>
      <c r="C130" s="49" t="s">
        <v>202</v>
      </c>
      <c r="D130" s="81" t="s">
        <v>5</v>
      </c>
      <c r="E130" s="81" t="s">
        <v>4</v>
      </c>
      <c r="F130" s="26">
        <v>15</v>
      </c>
      <c r="G130" s="79">
        <v>7030</v>
      </c>
      <c r="H130" s="78">
        <v>1</v>
      </c>
      <c r="I130" s="77">
        <v>1</v>
      </c>
      <c r="J130" s="76">
        <f t="shared" si="8"/>
        <v>105000</v>
      </c>
      <c r="K130" s="33">
        <f t="shared" si="6"/>
        <v>105000</v>
      </c>
      <c r="L130" s="20"/>
      <c r="M130" s="19"/>
      <c r="N130" s="19"/>
    </row>
    <row r="131" spans="1:14" s="53" customFormat="1" ht="33.75" customHeight="1">
      <c r="A131" s="62">
        <v>8</v>
      </c>
      <c r="B131" s="41">
        <v>71</v>
      </c>
      <c r="C131" s="297" t="s">
        <v>201</v>
      </c>
      <c r="D131" s="297"/>
      <c r="E131" s="297"/>
      <c r="F131" s="297"/>
      <c r="G131" s="297"/>
      <c r="H131" s="297"/>
      <c r="I131" s="108"/>
      <c r="J131" s="199">
        <f>SUM(J133:J170)</f>
        <v>348453000</v>
      </c>
      <c r="K131" s="33">
        <f t="shared" si="6"/>
        <v>0</v>
      </c>
    </row>
    <row r="132" spans="1:14" s="53" customFormat="1" ht="73.5" customHeight="1">
      <c r="A132" s="62"/>
      <c r="B132" s="61"/>
      <c r="C132" s="198" t="s">
        <v>200</v>
      </c>
      <c r="D132" s="197"/>
      <c r="E132" s="196"/>
      <c r="F132" s="195"/>
      <c r="G132" s="194"/>
      <c r="H132" s="193"/>
      <c r="I132" s="192"/>
      <c r="J132" s="191">
        <f>ROUND(F132*G132*H132*I132,-3)</f>
        <v>0</v>
      </c>
      <c r="K132" s="33">
        <f t="shared" si="6"/>
        <v>0</v>
      </c>
    </row>
    <row r="133" spans="1:14" s="141" customFormat="1" ht="94.5">
      <c r="A133" s="182"/>
      <c r="B133" s="181"/>
      <c r="C133" s="155" t="s">
        <v>199</v>
      </c>
      <c r="D133" s="146" t="s">
        <v>195</v>
      </c>
      <c r="E133" s="138" t="s">
        <v>182</v>
      </c>
      <c r="F133" s="168">
        <f>6.1*8.2</f>
        <v>50.019999999999996</v>
      </c>
      <c r="G133" s="163">
        <v>3224000</v>
      </c>
      <c r="H133" s="143">
        <v>0.6</v>
      </c>
      <c r="I133" s="135">
        <v>1</v>
      </c>
      <c r="J133" s="142">
        <f>ROUND((F133*G133*H133*I133),-3)</f>
        <v>96759000</v>
      </c>
      <c r="K133" s="33">
        <f t="shared" si="6"/>
        <v>96759000</v>
      </c>
      <c r="L133" s="180"/>
    </row>
    <row r="134" spans="1:14" s="159" customFormat="1" ht="65.25" customHeight="1">
      <c r="A134" s="30"/>
      <c r="B134" s="30"/>
      <c r="C134" s="167" t="s">
        <v>170</v>
      </c>
      <c r="D134" s="166" t="s">
        <v>169</v>
      </c>
      <c r="E134" s="165" t="s">
        <v>168</v>
      </c>
      <c r="F134" s="164">
        <v>1</v>
      </c>
      <c r="G134" s="163">
        <f>J133</f>
        <v>96759000</v>
      </c>
      <c r="H134" s="162">
        <v>0.3</v>
      </c>
      <c r="I134" s="135">
        <v>1</v>
      </c>
      <c r="J134" s="160">
        <f>ROUND(F134*G134*H134*I134,-3)</f>
        <v>29028000</v>
      </c>
      <c r="K134" s="33">
        <f t="shared" ref="K134:K170" si="9">ROUND(F134*G134*H134*I134,-3)</f>
        <v>29028000</v>
      </c>
    </row>
    <row r="135" spans="1:14" s="141" customFormat="1" ht="33" customHeight="1">
      <c r="A135" s="190"/>
      <c r="B135" s="190"/>
      <c r="C135" s="155" t="s">
        <v>198</v>
      </c>
      <c r="D135" s="150" t="s">
        <v>197</v>
      </c>
      <c r="E135" s="138" t="s">
        <v>177</v>
      </c>
      <c r="F135" s="186">
        <f>8*6</f>
        <v>48</v>
      </c>
      <c r="G135" s="163">
        <v>385000</v>
      </c>
      <c r="H135" s="152">
        <v>0.6</v>
      </c>
      <c r="I135" s="135">
        <v>1</v>
      </c>
      <c r="J135" s="170">
        <f>ROUND(F135*G135*H135*I135,-3)</f>
        <v>11088000</v>
      </c>
      <c r="K135" s="33">
        <f t="shared" si="9"/>
        <v>11088000</v>
      </c>
    </row>
    <row r="136" spans="1:14" s="159" customFormat="1" ht="65.25" customHeight="1">
      <c r="A136" s="30"/>
      <c r="B136" s="30"/>
      <c r="C136" s="167" t="s">
        <v>170</v>
      </c>
      <c r="D136" s="166" t="s">
        <v>169</v>
      </c>
      <c r="E136" s="165" t="s">
        <v>168</v>
      </c>
      <c r="F136" s="164">
        <v>1</v>
      </c>
      <c r="G136" s="163">
        <f>J135</f>
        <v>11088000</v>
      </c>
      <c r="H136" s="162">
        <v>0.3</v>
      </c>
      <c r="I136" s="135">
        <v>1</v>
      </c>
      <c r="J136" s="160">
        <f>ROUND(F136*G136*H136*I136,-3)</f>
        <v>3326000</v>
      </c>
      <c r="K136" s="33">
        <f t="shared" si="9"/>
        <v>3326000</v>
      </c>
    </row>
    <row r="137" spans="1:14" s="141" customFormat="1" ht="126">
      <c r="A137" s="182"/>
      <c r="B137" s="181"/>
      <c r="C137" s="155" t="s">
        <v>196</v>
      </c>
      <c r="D137" s="146" t="s">
        <v>195</v>
      </c>
      <c r="E137" s="138" t="s">
        <v>182</v>
      </c>
      <c r="F137" s="168">
        <f>6.1*8.2</f>
        <v>50.019999999999996</v>
      </c>
      <c r="G137" s="163">
        <f>3224000-82000</f>
        <v>3142000</v>
      </c>
      <c r="H137" s="143">
        <v>0.4</v>
      </c>
      <c r="I137" s="135">
        <v>1</v>
      </c>
      <c r="J137" s="142">
        <f>ROUND((F137*G137*H137*I137),-3)</f>
        <v>62865000</v>
      </c>
      <c r="K137" s="33">
        <f t="shared" si="9"/>
        <v>62865000</v>
      </c>
      <c r="L137" s="180"/>
    </row>
    <row r="138" spans="1:14" s="159" customFormat="1" ht="65.25" customHeight="1">
      <c r="A138" s="30"/>
      <c r="B138" s="30"/>
      <c r="C138" s="167" t="s">
        <v>170</v>
      </c>
      <c r="D138" s="166" t="s">
        <v>169</v>
      </c>
      <c r="E138" s="165" t="s">
        <v>168</v>
      </c>
      <c r="F138" s="164">
        <v>1</v>
      </c>
      <c r="G138" s="163">
        <f>J137</f>
        <v>62865000</v>
      </c>
      <c r="H138" s="162">
        <v>0.3</v>
      </c>
      <c r="I138" s="135">
        <v>1</v>
      </c>
      <c r="J138" s="160">
        <f>ROUND(F138*G138*H138*I138,-3)</f>
        <v>18860000</v>
      </c>
      <c r="K138" s="33">
        <f t="shared" si="9"/>
        <v>18860000</v>
      </c>
    </row>
    <row r="139" spans="1:14" s="53" customFormat="1" ht="33.75">
      <c r="A139" s="108"/>
      <c r="B139" s="140"/>
      <c r="C139" s="60" t="s">
        <v>194</v>
      </c>
      <c r="D139" s="150" t="s">
        <v>172</v>
      </c>
      <c r="E139" s="169" t="s">
        <v>174</v>
      </c>
      <c r="F139" s="137">
        <f>14.3*0.6*0.2</f>
        <v>1.7160000000000002</v>
      </c>
      <c r="G139" s="163">
        <v>2828000</v>
      </c>
      <c r="H139" s="55">
        <v>0.4</v>
      </c>
      <c r="I139" s="135">
        <v>1</v>
      </c>
      <c r="J139" s="134">
        <f>ROUND((F139*G139*H139*I139),-3)</f>
        <v>1941000</v>
      </c>
      <c r="K139" s="33">
        <f t="shared" si="9"/>
        <v>1941000</v>
      </c>
    </row>
    <row r="140" spans="1:14" s="159" customFormat="1" ht="65.25" customHeight="1">
      <c r="A140" s="30"/>
      <c r="B140" s="30"/>
      <c r="C140" s="167" t="s">
        <v>170</v>
      </c>
      <c r="D140" s="166" t="s">
        <v>169</v>
      </c>
      <c r="E140" s="165" t="s">
        <v>168</v>
      </c>
      <c r="F140" s="164">
        <v>1</v>
      </c>
      <c r="G140" s="163">
        <f>J139</f>
        <v>1941000</v>
      </c>
      <c r="H140" s="162">
        <v>0.3</v>
      </c>
      <c r="I140" s="135">
        <v>1</v>
      </c>
      <c r="J140" s="160">
        <f>ROUND(F140*G140*H140*I140,-3)</f>
        <v>582000</v>
      </c>
      <c r="K140" s="33">
        <f t="shared" si="9"/>
        <v>582000</v>
      </c>
    </row>
    <row r="141" spans="1:14" s="53" customFormat="1" ht="31.5">
      <c r="A141" s="108"/>
      <c r="B141" s="140"/>
      <c r="C141" s="60" t="s">
        <v>193</v>
      </c>
      <c r="D141" s="139" t="s">
        <v>192</v>
      </c>
      <c r="E141" s="138" t="s">
        <v>182</v>
      </c>
      <c r="F141" s="137">
        <f>2.2*8.2</f>
        <v>18.04</v>
      </c>
      <c r="G141" s="163">
        <v>396000</v>
      </c>
      <c r="H141" s="55">
        <v>0.4</v>
      </c>
      <c r="I141" s="135">
        <v>1</v>
      </c>
      <c r="J141" s="134">
        <f>ROUND((F141*G141*H141*I141),-3)</f>
        <v>2858000</v>
      </c>
      <c r="K141" s="33">
        <f t="shared" si="9"/>
        <v>2858000</v>
      </c>
    </row>
    <row r="142" spans="1:14" s="159" customFormat="1" ht="65.25" customHeight="1">
      <c r="A142" s="30"/>
      <c r="B142" s="30"/>
      <c r="C142" s="167" t="s">
        <v>170</v>
      </c>
      <c r="D142" s="166" t="s">
        <v>169</v>
      </c>
      <c r="E142" s="165" t="s">
        <v>168</v>
      </c>
      <c r="F142" s="164">
        <v>1</v>
      </c>
      <c r="G142" s="163">
        <f>J141</f>
        <v>2858000</v>
      </c>
      <c r="H142" s="162">
        <v>0.3</v>
      </c>
      <c r="I142" s="135">
        <v>1</v>
      </c>
      <c r="J142" s="160">
        <f>ROUND(F142*G142*H142*I142,-3)</f>
        <v>857000</v>
      </c>
      <c r="K142" s="33">
        <f t="shared" si="9"/>
        <v>857000</v>
      </c>
    </row>
    <row r="143" spans="1:14" s="53" customFormat="1" ht="22.5">
      <c r="A143" s="188"/>
      <c r="B143" s="188"/>
      <c r="C143" s="155" t="s">
        <v>191</v>
      </c>
      <c r="D143" s="139" t="s">
        <v>190</v>
      </c>
      <c r="E143" s="187" t="s">
        <v>177</v>
      </c>
      <c r="F143" s="186">
        <f>5.8*5.6*2</f>
        <v>64.959999999999994</v>
      </c>
      <c r="G143" s="163">
        <v>236000</v>
      </c>
      <c r="H143" s="185">
        <v>0.4</v>
      </c>
      <c r="I143" s="135">
        <v>1</v>
      </c>
      <c r="J143" s="184">
        <f>ROUND(F143*G143*H143*I143,-3)</f>
        <v>6132000</v>
      </c>
      <c r="K143" s="33">
        <f t="shared" si="9"/>
        <v>6132000</v>
      </c>
    </row>
    <row r="144" spans="1:14" s="159" customFormat="1" ht="65.25" customHeight="1">
      <c r="A144" s="30"/>
      <c r="B144" s="30"/>
      <c r="C144" s="167" t="s">
        <v>170</v>
      </c>
      <c r="D144" s="166" t="s">
        <v>169</v>
      </c>
      <c r="E144" s="165" t="s">
        <v>168</v>
      </c>
      <c r="F144" s="164">
        <v>1</v>
      </c>
      <c r="G144" s="163">
        <f>J143</f>
        <v>6132000</v>
      </c>
      <c r="H144" s="162">
        <v>0.3</v>
      </c>
      <c r="I144" s="135">
        <v>1</v>
      </c>
      <c r="J144" s="160">
        <f>ROUND(F144*G144*H144*I144,-3)</f>
        <v>1840000</v>
      </c>
      <c r="K144" s="33">
        <f t="shared" si="9"/>
        <v>1840000</v>
      </c>
    </row>
    <row r="145" spans="1:12" s="141" customFormat="1" ht="27" customHeight="1">
      <c r="A145" s="172"/>
      <c r="B145" s="171"/>
      <c r="C145" s="147" t="s">
        <v>189</v>
      </c>
      <c r="D145" s="150" t="s">
        <v>188</v>
      </c>
      <c r="E145" s="183" t="s">
        <v>177</v>
      </c>
      <c r="F145" s="145">
        <f>5.8*5.8</f>
        <v>33.64</v>
      </c>
      <c r="G145" s="163">
        <v>213000</v>
      </c>
      <c r="H145" s="143">
        <v>0.4</v>
      </c>
      <c r="I145" s="135">
        <v>1</v>
      </c>
      <c r="J145" s="142">
        <f>ROUND((F145*G145*H145*I145),-3)</f>
        <v>2866000</v>
      </c>
      <c r="K145" s="33">
        <f t="shared" si="9"/>
        <v>2866000</v>
      </c>
    </row>
    <row r="146" spans="1:12" s="159" customFormat="1" ht="65.25" customHeight="1">
      <c r="A146" s="30"/>
      <c r="B146" s="30"/>
      <c r="C146" s="167" t="s">
        <v>170</v>
      </c>
      <c r="D146" s="166" t="s">
        <v>169</v>
      </c>
      <c r="E146" s="165" t="s">
        <v>168</v>
      </c>
      <c r="F146" s="164">
        <v>1</v>
      </c>
      <c r="G146" s="163">
        <f>J145</f>
        <v>2866000</v>
      </c>
      <c r="H146" s="162">
        <v>0.3</v>
      </c>
      <c r="I146" s="135">
        <v>1</v>
      </c>
      <c r="J146" s="160">
        <f>ROUND(F146*G146*H146*I146,-3)</f>
        <v>860000</v>
      </c>
      <c r="K146" s="33">
        <f t="shared" si="9"/>
        <v>860000</v>
      </c>
    </row>
    <row r="147" spans="1:12" s="141" customFormat="1" ht="63">
      <c r="A147" s="182"/>
      <c r="B147" s="181"/>
      <c r="C147" s="155" t="s">
        <v>187</v>
      </c>
      <c r="D147" s="146" t="s">
        <v>186</v>
      </c>
      <c r="E147" s="138" t="s">
        <v>182</v>
      </c>
      <c r="F147" s="168">
        <f>2.5*1.5</f>
        <v>3.75</v>
      </c>
      <c r="G147" s="163">
        <v>3370000</v>
      </c>
      <c r="H147" s="143">
        <v>0.4</v>
      </c>
      <c r="I147" s="135">
        <v>1</v>
      </c>
      <c r="J147" s="142">
        <f>ROUND((F147*G147*H147*I147),-3)</f>
        <v>5055000</v>
      </c>
      <c r="K147" s="33">
        <f t="shared" si="9"/>
        <v>5055000</v>
      </c>
      <c r="L147" s="180"/>
    </row>
    <row r="148" spans="1:12" s="159" customFormat="1" ht="65.25" customHeight="1">
      <c r="A148" s="30"/>
      <c r="B148" s="30"/>
      <c r="C148" s="167" t="s">
        <v>170</v>
      </c>
      <c r="D148" s="166" t="s">
        <v>169</v>
      </c>
      <c r="E148" s="165" t="s">
        <v>168</v>
      </c>
      <c r="F148" s="164">
        <v>1</v>
      </c>
      <c r="G148" s="163">
        <f>J147</f>
        <v>5055000</v>
      </c>
      <c r="H148" s="162">
        <v>0.3</v>
      </c>
      <c r="I148" s="135">
        <v>1</v>
      </c>
      <c r="J148" s="160">
        <f>ROUND(F148*G148*H148*I148,-3)</f>
        <v>1517000</v>
      </c>
      <c r="K148" s="33">
        <f t="shared" si="9"/>
        <v>1517000</v>
      </c>
    </row>
    <row r="149" spans="1:12" s="53" customFormat="1" ht="31.5">
      <c r="A149" s="108"/>
      <c r="B149" s="140"/>
      <c r="C149" s="60" t="s">
        <v>185</v>
      </c>
      <c r="D149" s="150" t="s">
        <v>184</v>
      </c>
      <c r="E149" s="169" t="s">
        <v>174</v>
      </c>
      <c r="F149" s="137">
        <f>4*3.5*6</f>
        <v>84</v>
      </c>
      <c r="G149" s="163">
        <v>801000</v>
      </c>
      <c r="H149" s="55">
        <v>0.4</v>
      </c>
      <c r="I149" s="135">
        <v>1</v>
      </c>
      <c r="J149" s="134">
        <f>ROUND((F149*G149*H149*I149),-3)</f>
        <v>26914000</v>
      </c>
      <c r="K149" s="33">
        <f t="shared" si="9"/>
        <v>26914000</v>
      </c>
    </row>
    <row r="150" spans="1:12" s="159" customFormat="1" ht="65.25" customHeight="1">
      <c r="A150" s="30"/>
      <c r="B150" s="30"/>
      <c r="C150" s="167" t="s">
        <v>170</v>
      </c>
      <c r="D150" s="166" t="s">
        <v>169</v>
      </c>
      <c r="E150" s="165" t="s">
        <v>168</v>
      </c>
      <c r="F150" s="164">
        <v>1</v>
      </c>
      <c r="G150" s="163">
        <f>J149</f>
        <v>26914000</v>
      </c>
      <c r="H150" s="162">
        <v>0.3</v>
      </c>
      <c r="I150" s="135">
        <v>1</v>
      </c>
      <c r="J150" s="160">
        <f>ROUND(F150*G150*H150*I150,-3)</f>
        <v>8074000</v>
      </c>
      <c r="K150" s="33">
        <f t="shared" si="9"/>
        <v>8074000</v>
      </c>
    </row>
    <row r="151" spans="1:12" s="53" customFormat="1" ht="33.75">
      <c r="A151" s="179"/>
      <c r="B151" s="178"/>
      <c r="C151" s="177" t="s">
        <v>183</v>
      </c>
      <c r="D151" s="59" t="s">
        <v>12</v>
      </c>
      <c r="E151" s="176" t="s">
        <v>182</v>
      </c>
      <c r="F151" s="175">
        <f>2*2+20.5*1.2</f>
        <v>28.599999999999998</v>
      </c>
      <c r="G151" s="163">
        <v>792000</v>
      </c>
      <c r="H151" s="174">
        <v>0.4</v>
      </c>
      <c r="I151" s="135">
        <v>1</v>
      </c>
      <c r="J151" s="134">
        <f>ROUND((F151*G151*H151*I151),-3)</f>
        <v>9060000</v>
      </c>
      <c r="K151" s="33">
        <f t="shared" si="9"/>
        <v>9060000</v>
      </c>
    </row>
    <row r="152" spans="1:12" s="159" customFormat="1" ht="65.25" customHeight="1">
      <c r="A152" s="30"/>
      <c r="B152" s="30"/>
      <c r="C152" s="167" t="s">
        <v>170</v>
      </c>
      <c r="D152" s="166" t="s">
        <v>169</v>
      </c>
      <c r="E152" s="165" t="s">
        <v>168</v>
      </c>
      <c r="F152" s="164">
        <v>1</v>
      </c>
      <c r="G152" s="163">
        <f>J151</f>
        <v>9060000</v>
      </c>
      <c r="H152" s="162">
        <v>0.3</v>
      </c>
      <c r="I152" s="135">
        <v>1</v>
      </c>
      <c r="J152" s="160">
        <f>ROUND(F152*G152*H152*I152,-3)</f>
        <v>2718000</v>
      </c>
      <c r="K152" s="33">
        <f t="shared" si="9"/>
        <v>2718000</v>
      </c>
    </row>
    <row r="153" spans="1:12" s="53" customFormat="1" ht="31.5" customHeight="1">
      <c r="A153" s="157"/>
      <c r="B153" s="156"/>
      <c r="C153" s="155" t="s">
        <v>181</v>
      </c>
      <c r="D153" s="158" t="s">
        <v>180</v>
      </c>
      <c r="E153" s="138" t="s">
        <v>177</v>
      </c>
      <c r="F153" s="173">
        <f>45.5*1.5</f>
        <v>68.25</v>
      </c>
      <c r="G153" s="163">
        <v>215000</v>
      </c>
      <c r="H153" s="152">
        <v>0.4</v>
      </c>
      <c r="I153" s="135">
        <v>1</v>
      </c>
      <c r="J153" s="142">
        <f>ROUND(F153*G153*H153*I153,-3)</f>
        <v>5870000</v>
      </c>
      <c r="K153" s="33">
        <f t="shared" si="9"/>
        <v>5870000</v>
      </c>
    </row>
    <row r="154" spans="1:12" s="159" customFormat="1" ht="65.25" customHeight="1">
      <c r="A154" s="30"/>
      <c r="B154" s="30"/>
      <c r="C154" s="167" t="s">
        <v>170</v>
      </c>
      <c r="D154" s="166" t="s">
        <v>169</v>
      </c>
      <c r="E154" s="165" t="s">
        <v>168</v>
      </c>
      <c r="F154" s="164">
        <v>1</v>
      </c>
      <c r="G154" s="163">
        <f>J153</f>
        <v>5870000</v>
      </c>
      <c r="H154" s="162">
        <v>0.3</v>
      </c>
      <c r="I154" s="135">
        <v>1</v>
      </c>
      <c r="J154" s="160">
        <f>ROUND(F154*G154*H154*I154,-3)</f>
        <v>1761000</v>
      </c>
      <c r="K154" s="33">
        <f t="shared" si="9"/>
        <v>1761000</v>
      </c>
    </row>
    <row r="155" spans="1:12" s="141" customFormat="1" ht="33.75">
      <c r="A155" s="172"/>
      <c r="B155" s="171"/>
      <c r="C155" s="147" t="s">
        <v>179</v>
      </c>
      <c r="D155" s="150" t="s">
        <v>178</v>
      </c>
      <c r="E155" s="138" t="s">
        <v>177</v>
      </c>
      <c r="F155" s="145">
        <f>40*1</f>
        <v>40</v>
      </c>
      <c r="G155" s="163">
        <v>453000</v>
      </c>
      <c r="H155" s="143">
        <v>0.4</v>
      </c>
      <c r="I155" s="135">
        <v>1</v>
      </c>
      <c r="J155" s="170">
        <f>ROUND(F155*G155*H155*I155,-3)</f>
        <v>7248000</v>
      </c>
      <c r="K155" s="33">
        <f t="shared" si="9"/>
        <v>7248000</v>
      </c>
    </row>
    <row r="156" spans="1:12" s="159" customFormat="1" ht="65.25" customHeight="1">
      <c r="A156" s="30"/>
      <c r="B156" s="30"/>
      <c r="C156" s="167" t="s">
        <v>170</v>
      </c>
      <c r="D156" s="166" t="s">
        <v>169</v>
      </c>
      <c r="E156" s="165" t="s">
        <v>168</v>
      </c>
      <c r="F156" s="164">
        <v>1</v>
      </c>
      <c r="G156" s="163">
        <f>J155</f>
        <v>7248000</v>
      </c>
      <c r="H156" s="162">
        <v>0.3</v>
      </c>
      <c r="I156" s="135">
        <v>1</v>
      </c>
      <c r="J156" s="160">
        <f>ROUND(F156*G156*H156*I156,-3)</f>
        <v>2174000</v>
      </c>
      <c r="K156" s="33">
        <f t="shared" si="9"/>
        <v>2174000</v>
      </c>
    </row>
    <row r="157" spans="1:12" s="53" customFormat="1" ht="31.5">
      <c r="A157" s="108"/>
      <c r="B157" s="140"/>
      <c r="C157" s="60" t="s">
        <v>176</v>
      </c>
      <c r="D157" s="150" t="s">
        <v>175</v>
      </c>
      <c r="E157" s="169" t="s">
        <v>174</v>
      </c>
      <c r="F157" s="137">
        <f>47*1.8*0.3</f>
        <v>25.380000000000003</v>
      </c>
      <c r="G157" s="163">
        <v>2482000</v>
      </c>
      <c r="H157" s="55">
        <v>0.4</v>
      </c>
      <c r="I157" s="135">
        <v>1</v>
      </c>
      <c r="J157" s="134">
        <f>ROUND((F157*G157*H157*I157),-3)</f>
        <v>25197000</v>
      </c>
      <c r="K157" s="33">
        <f t="shared" si="9"/>
        <v>25197000</v>
      </c>
    </row>
    <row r="158" spans="1:12" s="159" customFormat="1" ht="65.25" customHeight="1">
      <c r="A158" s="30"/>
      <c r="B158" s="30"/>
      <c r="C158" s="167" t="s">
        <v>170</v>
      </c>
      <c r="D158" s="166" t="s">
        <v>169</v>
      </c>
      <c r="E158" s="165" t="s">
        <v>168</v>
      </c>
      <c r="F158" s="164">
        <v>1</v>
      </c>
      <c r="G158" s="163">
        <f>J157</f>
        <v>25197000</v>
      </c>
      <c r="H158" s="162">
        <v>0.3</v>
      </c>
      <c r="I158" s="135">
        <v>1</v>
      </c>
      <c r="J158" s="160">
        <f>ROUND(F158*G158*H158*I158,-3)</f>
        <v>7559000</v>
      </c>
      <c r="K158" s="33">
        <f t="shared" si="9"/>
        <v>7559000</v>
      </c>
    </row>
    <row r="159" spans="1:12" s="53" customFormat="1" ht="33.75">
      <c r="A159" s="157"/>
      <c r="B159" s="156"/>
      <c r="C159" s="155" t="s">
        <v>173</v>
      </c>
      <c r="D159" s="150" t="s">
        <v>172</v>
      </c>
      <c r="E159" s="138" t="s">
        <v>171</v>
      </c>
      <c r="F159" s="168">
        <f>0.2*0.2*1.2</f>
        <v>4.8000000000000008E-2</v>
      </c>
      <c r="G159" s="163">
        <v>2828000</v>
      </c>
      <c r="H159" s="152">
        <v>0.4</v>
      </c>
      <c r="I159" s="135">
        <v>1</v>
      </c>
      <c r="J159" s="142">
        <f>ROUND((F159*G159*H159*I159),-3)</f>
        <v>54000</v>
      </c>
      <c r="K159" s="33">
        <f t="shared" si="9"/>
        <v>54000</v>
      </c>
    </row>
    <row r="160" spans="1:12" s="159" customFormat="1" ht="65.25" customHeight="1">
      <c r="A160" s="30"/>
      <c r="B160" s="30"/>
      <c r="C160" s="167" t="s">
        <v>170</v>
      </c>
      <c r="D160" s="166" t="s">
        <v>169</v>
      </c>
      <c r="E160" s="165" t="s">
        <v>168</v>
      </c>
      <c r="F160" s="164">
        <v>1</v>
      </c>
      <c r="G160" s="163">
        <f>J159</f>
        <v>54000</v>
      </c>
      <c r="H160" s="162">
        <v>0.3</v>
      </c>
      <c r="I160" s="135">
        <v>1</v>
      </c>
      <c r="J160" s="160">
        <f>ROUND(F160*G160*H160*I160,-3)</f>
        <v>16000</v>
      </c>
      <c r="K160" s="33">
        <f t="shared" si="9"/>
        <v>16000</v>
      </c>
    </row>
    <row r="161" spans="1:14" s="141" customFormat="1" ht="24.75" customHeight="1">
      <c r="A161" s="149"/>
      <c r="B161" s="148"/>
      <c r="C161" s="147" t="s">
        <v>167</v>
      </c>
      <c r="D161" s="150" t="s">
        <v>166</v>
      </c>
      <c r="E161" s="138" t="s">
        <v>154</v>
      </c>
      <c r="F161" s="145">
        <v>1</v>
      </c>
      <c r="G161" s="163">
        <v>286510</v>
      </c>
      <c r="H161" s="143">
        <v>1</v>
      </c>
      <c r="I161" s="135">
        <v>1</v>
      </c>
      <c r="J161" s="142">
        <f>ROUND((F161*G161*H161*I161),-3)</f>
        <v>287000</v>
      </c>
      <c r="K161" s="33">
        <f t="shared" si="9"/>
        <v>287000</v>
      </c>
    </row>
    <row r="162" spans="1:14" s="141" customFormat="1">
      <c r="A162" s="149"/>
      <c r="B162" s="148"/>
      <c r="C162" s="147" t="s">
        <v>165</v>
      </c>
      <c r="D162" s="150" t="s">
        <v>163</v>
      </c>
      <c r="E162" s="138" t="s">
        <v>147</v>
      </c>
      <c r="F162" s="145">
        <v>3</v>
      </c>
      <c r="G162" s="163">
        <v>10270</v>
      </c>
      <c r="H162" s="143">
        <v>1</v>
      </c>
      <c r="I162" s="135">
        <v>1</v>
      </c>
      <c r="J162" s="142">
        <f>ROUND((F162*G162*H162*I162),-3)</f>
        <v>31000</v>
      </c>
      <c r="K162" s="33">
        <f t="shared" si="9"/>
        <v>31000</v>
      </c>
    </row>
    <row r="163" spans="1:14" s="141" customFormat="1">
      <c r="A163" s="149"/>
      <c r="B163" s="148"/>
      <c r="C163" s="147" t="s">
        <v>164</v>
      </c>
      <c r="D163" s="150" t="s">
        <v>163</v>
      </c>
      <c r="E163" s="138" t="s">
        <v>147</v>
      </c>
      <c r="F163" s="145">
        <v>1</v>
      </c>
      <c r="G163" s="163">
        <v>10270</v>
      </c>
      <c r="H163" s="143">
        <v>1</v>
      </c>
      <c r="I163" s="135">
        <v>1</v>
      </c>
      <c r="J163" s="142">
        <f>ROUND((F163*G163*H163*I163),-3)</f>
        <v>10000</v>
      </c>
      <c r="K163" s="33">
        <f t="shared" si="9"/>
        <v>10000</v>
      </c>
    </row>
    <row r="164" spans="1:14" s="53" customFormat="1">
      <c r="A164" s="157"/>
      <c r="B164" s="156"/>
      <c r="C164" s="155" t="s">
        <v>162</v>
      </c>
      <c r="D164" s="158" t="s">
        <v>161</v>
      </c>
      <c r="E164" s="138" t="s">
        <v>147</v>
      </c>
      <c r="F164" s="154">
        <v>120</v>
      </c>
      <c r="G164" s="163">
        <v>26730</v>
      </c>
      <c r="H164" s="152">
        <v>1</v>
      </c>
      <c r="I164" s="135">
        <v>1</v>
      </c>
      <c r="J164" s="142">
        <f>ROUND(F164*G164*H164*I164,-3)</f>
        <v>3208000</v>
      </c>
      <c r="K164" s="33">
        <f t="shared" si="9"/>
        <v>3208000</v>
      </c>
    </row>
    <row r="165" spans="1:14" s="53" customFormat="1">
      <c r="A165" s="157"/>
      <c r="B165" s="156"/>
      <c r="C165" s="155" t="s">
        <v>160</v>
      </c>
      <c r="D165" s="139" t="s">
        <v>159</v>
      </c>
      <c r="E165" s="138" t="s">
        <v>147</v>
      </c>
      <c r="F165" s="154">
        <v>40</v>
      </c>
      <c r="G165" s="163">
        <v>7030</v>
      </c>
      <c r="H165" s="152">
        <v>1</v>
      </c>
      <c r="I165" s="135">
        <v>1</v>
      </c>
      <c r="J165" s="142">
        <f>ROUND(F165*G165*H165*I165,-3)</f>
        <v>281000</v>
      </c>
      <c r="K165" s="33">
        <f t="shared" si="9"/>
        <v>281000</v>
      </c>
    </row>
    <row r="166" spans="1:14" s="53" customFormat="1">
      <c r="A166" s="157"/>
      <c r="B166" s="156"/>
      <c r="C166" s="155" t="s">
        <v>158</v>
      </c>
      <c r="D166" s="139" t="s">
        <v>157</v>
      </c>
      <c r="E166" s="138" t="s">
        <v>147</v>
      </c>
      <c r="F166" s="154">
        <v>1</v>
      </c>
      <c r="G166" s="163">
        <v>412190</v>
      </c>
      <c r="H166" s="152">
        <v>1</v>
      </c>
      <c r="I166" s="135">
        <v>1</v>
      </c>
      <c r="J166" s="142">
        <f>ROUND(F166*G166*H166*I166,-3)</f>
        <v>412000</v>
      </c>
      <c r="K166" s="33">
        <f t="shared" si="9"/>
        <v>412000</v>
      </c>
    </row>
    <row r="167" spans="1:14" s="53" customFormat="1">
      <c r="A167" s="108"/>
      <c r="B167" s="140"/>
      <c r="C167" s="60" t="s">
        <v>156</v>
      </c>
      <c r="D167" s="151" t="s">
        <v>155</v>
      </c>
      <c r="E167" s="47" t="s">
        <v>154</v>
      </c>
      <c r="F167" s="137">
        <v>1</v>
      </c>
      <c r="G167" s="163">
        <v>8300</v>
      </c>
      <c r="H167" s="55">
        <v>1</v>
      </c>
      <c r="I167" s="135">
        <v>1</v>
      </c>
      <c r="J167" s="134">
        <f>ROUND((F167*G167*H167*I167),-3)</f>
        <v>8000</v>
      </c>
      <c r="K167" s="33">
        <f t="shared" si="9"/>
        <v>8000</v>
      </c>
    </row>
    <row r="168" spans="1:14" s="141" customFormat="1">
      <c r="A168" s="149"/>
      <c r="B168" s="148"/>
      <c r="C168" s="147" t="s">
        <v>153</v>
      </c>
      <c r="D168" s="150" t="s">
        <v>152</v>
      </c>
      <c r="E168" s="138" t="s">
        <v>147</v>
      </c>
      <c r="F168" s="145">
        <v>1</v>
      </c>
      <c r="G168" s="163">
        <v>1065100</v>
      </c>
      <c r="H168" s="143">
        <v>1</v>
      </c>
      <c r="I168" s="135">
        <v>1</v>
      </c>
      <c r="J168" s="142">
        <f>ROUND((F168*G168*H168*I168),-3)</f>
        <v>1065000</v>
      </c>
      <c r="K168" s="33">
        <f t="shared" si="9"/>
        <v>1065000</v>
      </c>
    </row>
    <row r="169" spans="1:14" s="141" customFormat="1">
      <c r="A169" s="149"/>
      <c r="B169" s="148"/>
      <c r="C169" s="147" t="s">
        <v>151</v>
      </c>
      <c r="D169" s="146" t="s">
        <v>150</v>
      </c>
      <c r="E169" s="138" t="s">
        <v>147</v>
      </c>
      <c r="F169" s="145">
        <v>4</v>
      </c>
      <c r="G169" s="163">
        <v>13630</v>
      </c>
      <c r="H169" s="143">
        <v>1</v>
      </c>
      <c r="I169" s="135">
        <v>1</v>
      </c>
      <c r="J169" s="142">
        <f>ROUND((F169*G169*H169*I169),-3)</f>
        <v>55000</v>
      </c>
      <c r="K169" s="33">
        <f t="shared" si="9"/>
        <v>55000</v>
      </c>
    </row>
    <row r="170" spans="1:14" s="53" customFormat="1">
      <c r="A170" s="108"/>
      <c r="B170" s="140"/>
      <c r="C170" s="60" t="s">
        <v>149</v>
      </c>
      <c r="D170" s="139" t="s">
        <v>148</v>
      </c>
      <c r="E170" s="138" t="s">
        <v>147</v>
      </c>
      <c r="F170" s="137">
        <v>1</v>
      </c>
      <c r="G170" s="163">
        <v>16590</v>
      </c>
      <c r="H170" s="55">
        <v>1</v>
      </c>
      <c r="I170" s="135">
        <v>1</v>
      </c>
      <c r="J170" s="134">
        <f>ROUND((F170*G170*H170*I170),-3)</f>
        <v>17000</v>
      </c>
      <c r="K170" s="33">
        <f t="shared" si="9"/>
        <v>17000</v>
      </c>
    </row>
    <row r="171" spans="1:14" s="11" customFormat="1">
      <c r="A171" s="18"/>
      <c r="B171" s="17"/>
      <c r="C171" s="290" t="s">
        <v>1</v>
      </c>
      <c r="D171" s="290"/>
      <c r="E171" s="290"/>
      <c r="F171" s="290"/>
      <c r="G171" s="290"/>
      <c r="H171" s="290"/>
      <c r="I171" s="290"/>
      <c r="J171" s="16">
        <f>SUM(J6:J170)/2</f>
        <v>1461161000</v>
      </c>
      <c r="K171" s="16">
        <f>SUM(K6:K170)</f>
        <v>1461161000</v>
      </c>
      <c r="L171" s="13"/>
      <c r="N171" s="15" t="e">
        <f>SUM(#REF!)</f>
        <v>#REF!</v>
      </c>
    </row>
    <row r="172" spans="1:14" s="11" customFormat="1" ht="38.25" customHeight="1">
      <c r="A172" s="291" t="s">
        <v>389</v>
      </c>
      <c r="B172" s="291"/>
      <c r="C172" s="291"/>
      <c r="D172" s="291"/>
      <c r="E172" s="291"/>
      <c r="F172" s="291"/>
      <c r="G172" s="291"/>
      <c r="H172" s="291"/>
      <c r="I172" s="291"/>
      <c r="J172" s="291"/>
      <c r="K172" s="14">
        <f>ROUND(F172*G172*H172*I172,-3)</f>
        <v>0</v>
      </c>
      <c r="L172" s="13"/>
      <c r="N172" s="12"/>
    </row>
  </sheetData>
  <autoFilter ref="B5:P172"/>
  <mergeCells count="19">
    <mergeCell ref="A1:J1"/>
    <mergeCell ref="A2:J2"/>
    <mergeCell ref="A3:A4"/>
    <mergeCell ref="B3:B4"/>
    <mergeCell ref="C3:C4"/>
    <mergeCell ref="D3:D4"/>
    <mergeCell ref="E3:E4"/>
    <mergeCell ref="F3:J3"/>
    <mergeCell ref="C6:H6"/>
    <mergeCell ref="C14:H14"/>
    <mergeCell ref="C49:H49"/>
    <mergeCell ref="C69:H69"/>
    <mergeCell ref="C75:H75"/>
    <mergeCell ref="C97:H97"/>
    <mergeCell ref="D112:I112"/>
    <mergeCell ref="C118:H118"/>
    <mergeCell ref="C131:H131"/>
    <mergeCell ref="C171:I171"/>
    <mergeCell ref="A172:J172"/>
  </mergeCells>
  <pageMargins left="0" right="0" top="7.874015748031496E-2" bottom="0.11811023622047245" header="0.19685039370078741" footer="0.23622047244094491"/>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2"/>
  <sheetViews>
    <sheetView topLeftCell="A182" zoomScaleNormal="100" workbookViewId="0">
      <selection activeCell="C212" sqref="C212"/>
    </sheetView>
  </sheetViews>
  <sheetFormatPr defaultRowHeight="15.75"/>
  <cols>
    <col min="1" max="1" width="3.85546875" style="10" customWidth="1"/>
    <col min="2" max="2" width="5.28515625" style="9" customWidth="1"/>
    <col min="3" max="3" width="26.7109375" style="1" customWidth="1"/>
    <col min="4" max="4" width="8.7109375" style="8" customWidth="1"/>
    <col min="5" max="5" width="6.140625" style="6" customWidth="1"/>
    <col min="6" max="6" width="7.85546875" style="7" customWidth="1"/>
    <col min="7" max="7" width="15.28515625" style="6" customWidth="1"/>
    <col min="8" max="8" width="7" style="6" customWidth="1"/>
    <col min="9" max="9" width="7.5703125" style="6" customWidth="1"/>
    <col min="10" max="10" width="19.5703125" style="5" customWidth="1"/>
    <col min="11" max="11" width="29.28515625" style="4" customWidth="1"/>
    <col min="12" max="12" width="29.28515625" style="3" customWidth="1"/>
    <col min="13" max="13" width="26.7109375" style="1" customWidth="1"/>
    <col min="14" max="14" width="17" style="2" customWidth="1"/>
    <col min="15" max="15" width="9.140625" style="1"/>
    <col min="16" max="16" width="12.42578125" style="1" bestFit="1" customWidth="1"/>
    <col min="17" max="16384" width="9.140625" style="1"/>
  </cols>
  <sheetData>
    <row r="1" spans="1:14" s="220" customFormat="1" ht="105" customHeight="1">
      <c r="A1" s="300" t="s">
        <v>333</v>
      </c>
      <c r="B1" s="300"/>
      <c r="C1" s="300"/>
      <c r="D1" s="300"/>
      <c r="E1" s="300"/>
      <c r="F1" s="300"/>
      <c r="G1" s="300"/>
      <c r="H1" s="300"/>
      <c r="I1" s="300"/>
      <c r="J1" s="300"/>
      <c r="K1" s="223"/>
      <c r="L1" s="3"/>
      <c r="N1" s="221"/>
    </row>
    <row r="2" spans="1:14" s="220" customFormat="1" ht="46.5" customHeight="1">
      <c r="A2" s="301" t="s">
        <v>332</v>
      </c>
      <c r="B2" s="301"/>
      <c r="C2" s="301"/>
      <c r="D2" s="301"/>
      <c r="E2" s="301"/>
      <c r="F2" s="301"/>
      <c r="G2" s="301"/>
      <c r="H2" s="301"/>
      <c r="I2" s="301"/>
      <c r="J2" s="301"/>
      <c r="K2" s="223"/>
      <c r="L2" s="3"/>
      <c r="N2" s="221"/>
    </row>
    <row r="3" spans="1:14" s="220" customFormat="1" ht="18" customHeight="1">
      <c r="A3" s="302" t="s">
        <v>331</v>
      </c>
      <c r="B3" s="302" t="s">
        <v>330</v>
      </c>
      <c r="C3" s="303" t="s">
        <v>329</v>
      </c>
      <c r="D3" s="303" t="s">
        <v>328</v>
      </c>
      <c r="E3" s="304" t="s">
        <v>327</v>
      </c>
      <c r="F3" s="305" t="s">
        <v>326</v>
      </c>
      <c r="G3" s="305"/>
      <c r="H3" s="305"/>
      <c r="I3" s="305"/>
      <c r="J3" s="305"/>
      <c r="K3" s="223"/>
      <c r="L3" s="3"/>
      <c r="N3" s="221"/>
    </row>
    <row r="4" spans="1:14" s="220" customFormat="1" ht="64.5" customHeight="1">
      <c r="A4" s="302"/>
      <c r="B4" s="302"/>
      <c r="C4" s="303"/>
      <c r="D4" s="303"/>
      <c r="E4" s="304"/>
      <c r="F4" s="239" t="s">
        <v>325</v>
      </c>
      <c r="G4" s="237" t="s">
        <v>324</v>
      </c>
      <c r="H4" s="236" t="s">
        <v>323</v>
      </c>
      <c r="I4" s="236" t="s">
        <v>322</v>
      </c>
      <c r="J4" s="235" t="s">
        <v>321</v>
      </c>
      <c r="K4" s="223"/>
      <c r="L4" s="234" t="s">
        <v>320</v>
      </c>
      <c r="M4" s="233" t="s">
        <v>319</v>
      </c>
      <c r="N4" s="221"/>
    </row>
    <row r="5" spans="1:14" s="220" customFormat="1" ht="19.5" customHeight="1">
      <c r="A5" s="232">
        <v>1</v>
      </c>
      <c r="B5" s="231">
        <v>1</v>
      </c>
      <c r="C5" s="230" t="s">
        <v>318</v>
      </c>
      <c r="D5" s="229" t="s">
        <v>317</v>
      </c>
      <c r="E5" s="228">
        <v>4</v>
      </c>
      <c r="F5" s="227">
        <v>5</v>
      </c>
      <c r="G5" s="226" t="s">
        <v>316</v>
      </c>
      <c r="H5" s="225">
        <v>7</v>
      </c>
      <c r="I5" s="225">
        <v>8</v>
      </c>
      <c r="J5" s="224" t="s">
        <v>315</v>
      </c>
      <c r="K5" s="223"/>
      <c r="L5" s="3"/>
      <c r="M5" s="222"/>
      <c r="N5" s="221"/>
    </row>
    <row r="6" spans="1:14" s="53" customFormat="1" ht="33.75" customHeight="1">
      <c r="A6" s="62">
        <v>1</v>
      </c>
      <c r="B6" s="41">
        <v>71</v>
      </c>
      <c r="C6" s="297" t="s">
        <v>314</v>
      </c>
      <c r="D6" s="297"/>
      <c r="E6" s="297"/>
      <c r="F6" s="297"/>
      <c r="G6" s="297"/>
      <c r="H6" s="297"/>
      <c r="I6" s="108"/>
      <c r="J6" s="199">
        <f>SUM(J7:J13)</f>
        <v>4728000</v>
      </c>
      <c r="K6" s="219">
        <f t="shared" ref="K6:K69" si="0">ROUND(F6*G6*H6*I6,-3)</f>
        <v>0</v>
      </c>
    </row>
    <row r="7" spans="1:14" s="53" customFormat="1" ht="73.5" customHeight="1">
      <c r="A7" s="62"/>
      <c r="B7" s="61"/>
      <c r="C7" s="198" t="s">
        <v>200</v>
      </c>
      <c r="D7" s="197"/>
      <c r="E7" s="196"/>
      <c r="F7" s="195"/>
      <c r="G7" s="194"/>
      <c r="H7" s="193"/>
      <c r="I7" s="192"/>
      <c r="J7" s="191">
        <f>ROUND(F7*G7*H7*I7,-3)</f>
        <v>0</v>
      </c>
      <c r="K7" s="33">
        <f t="shared" si="0"/>
        <v>0</v>
      </c>
    </row>
    <row r="8" spans="1:14" s="53" customFormat="1" ht="33.75">
      <c r="A8" s="62"/>
      <c r="B8" s="61"/>
      <c r="C8" s="60" t="s">
        <v>313</v>
      </c>
      <c r="D8" s="150" t="s">
        <v>172</v>
      </c>
      <c r="E8" s="138" t="s">
        <v>171</v>
      </c>
      <c r="F8" s="137">
        <f>0.3*0.3*2.2*2</f>
        <v>0.39600000000000002</v>
      </c>
      <c r="G8" s="144">
        <v>2828000</v>
      </c>
      <c r="H8" s="55">
        <v>0.4</v>
      </c>
      <c r="I8" s="44">
        <v>1</v>
      </c>
      <c r="J8" s="134">
        <f>ROUND((F8*G8*H8*I8),-3)</f>
        <v>448000</v>
      </c>
      <c r="K8" s="33">
        <f t="shared" si="0"/>
        <v>448000</v>
      </c>
    </row>
    <row r="9" spans="1:14" s="159" customFormat="1" ht="65.25" customHeight="1">
      <c r="A9" s="30"/>
      <c r="B9" s="30"/>
      <c r="C9" s="167" t="s">
        <v>170</v>
      </c>
      <c r="D9" s="166" t="s">
        <v>169</v>
      </c>
      <c r="E9" s="165" t="s">
        <v>168</v>
      </c>
      <c r="F9" s="164">
        <v>1</v>
      </c>
      <c r="G9" s="163">
        <f>J8</f>
        <v>448000</v>
      </c>
      <c r="H9" s="162">
        <v>0.3</v>
      </c>
      <c r="I9" s="161">
        <v>1</v>
      </c>
      <c r="J9" s="160">
        <f>ROUND(F9*G9*H9*I9,-3)</f>
        <v>134000</v>
      </c>
      <c r="K9" s="33">
        <f t="shared" si="0"/>
        <v>134000</v>
      </c>
    </row>
    <row r="10" spans="1:14" s="53" customFormat="1" ht="33.75">
      <c r="A10" s="62"/>
      <c r="B10" s="61"/>
      <c r="C10" s="60" t="s">
        <v>312</v>
      </c>
      <c r="D10" s="59" t="s">
        <v>12</v>
      </c>
      <c r="E10" s="58" t="s">
        <v>7</v>
      </c>
      <c r="F10" s="57">
        <f>2.9*1.8+3.1*0.6</f>
        <v>7.08</v>
      </c>
      <c r="G10" s="56">
        <v>792000</v>
      </c>
      <c r="H10" s="55">
        <v>0.4</v>
      </c>
      <c r="I10" s="44">
        <v>1</v>
      </c>
      <c r="J10" s="54">
        <f>ROUND(F10*G10*H10*I10,-3)</f>
        <v>2243000</v>
      </c>
      <c r="K10" s="33">
        <f t="shared" si="0"/>
        <v>2243000</v>
      </c>
    </row>
    <row r="11" spans="1:14" s="159" customFormat="1" ht="65.25" customHeight="1">
      <c r="A11" s="30"/>
      <c r="B11" s="30"/>
      <c r="C11" s="167" t="s">
        <v>170</v>
      </c>
      <c r="D11" s="166" t="s">
        <v>169</v>
      </c>
      <c r="E11" s="165" t="s">
        <v>168</v>
      </c>
      <c r="F11" s="164">
        <v>1</v>
      </c>
      <c r="G11" s="163">
        <f>J10</f>
        <v>2243000</v>
      </c>
      <c r="H11" s="162">
        <v>0.3</v>
      </c>
      <c r="I11" s="161">
        <v>1</v>
      </c>
      <c r="J11" s="160">
        <f>ROUND(F11*G11*H11*I11,-3)</f>
        <v>673000</v>
      </c>
      <c r="K11" s="33">
        <f t="shared" si="0"/>
        <v>673000</v>
      </c>
    </row>
    <row r="12" spans="1:14" s="53" customFormat="1" ht="33.75">
      <c r="A12" s="62"/>
      <c r="B12" s="61"/>
      <c r="C12" s="155" t="s">
        <v>311</v>
      </c>
      <c r="D12" s="158" t="s">
        <v>310</v>
      </c>
      <c r="E12" s="138" t="s">
        <v>182</v>
      </c>
      <c r="F12" s="168">
        <f>2.9*0.25+3.1*1.45</f>
        <v>5.22</v>
      </c>
      <c r="G12" s="136">
        <v>453000</v>
      </c>
      <c r="H12" s="152">
        <v>0.4</v>
      </c>
      <c r="I12" s="44">
        <v>1</v>
      </c>
      <c r="J12" s="142">
        <f>ROUND((F12*G12*H12*I12),-3)</f>
        <v>946000</v>
      </c>
      <c r="K12" s="33">
        <f t="shared" si="0"/>
        <v>946000</v>
      </c>
    </row>
    <row r="13" spans="1:14" s="159" customFormat="1" ht="65.25" customHeight="1">
      <c r="A13" s="30"/>
      <c r="B13" s="30"/>
      <c r="C13" s="167" t="s">
        <v>170</v>
      </c>
      <c r="D13" s="166" t="s">
        <v>169</v>
      </c>
      <c r="E13" s="165" t="s">
        <v>168</v>
      </c>
      <c r="F13" s="164">
        <v>1</v>
      </c>
      <c r="G13" s="163">
        <f>J12</f>
        <v>946000</v>
      </c>
      <c r="H13" s="162">
        <v>0.3</v>
      </c>
      <c r="I13" s="161">
        <v>1</v>
      </c>
      <c r="J13" s="160">
        <f>ROUND(F13*G13*H13*I13,-3)</f>
        <v>284000</v>
      </c>
      <c r="K13" s="33">
        <f t="shared" si="0"/>
        <v>284000</v>
      </c>
    </row>
    <row r="14" spans="1:14" s="31" customFormat="1" ht="42" customHeight="1">
      <c r="A14" s="41">
        <v>2</v>
      </c>
      <c r="B14" s="41">
        <v>11</v>
      </c>
      <c r="C14" s="299" t="s">
        <v>309</v>
      </c>
      <c r="D14" s="299"/>
      <c r="E14" s="299"/>
      <c r="F14" s="299"/>
      <c r="G14" s="299"/>
      <c r="H14" s="299"/>
      <c r="I14" s="41"/>
      <c r="J14" s="126">
        <f>SUM(J16:J48)</f>
        <v>922027000</v>
      </c>
      <c r="K14" s="33">
        <f t="shared" si="0"/>
        <v>0</v>
      </c>
      <c r="L14" s="32"/>
      <c r="M14" s="32"/>
    </row>
    <row r="15" spans="1:14" s="53" customFormat="1" ht="73.5" customHeight="1">
      <c r="A15" s="62"/>
      <c r="B15" s="61"/>
      <c r="C15" s="198" t="s">
        <v>200</v>
      </c>
      <c r="D15" s="197"/>
      <c r="E15" s="196"/>
      <c r="F15" s="195"/>
      <c r="G15" s="194"/>
      <c r="H15" s="193"/>
      <c r="I15" s="192"/>
      <c r="J15" s="191">
        <f t="shared" ref="J15:J48" si="1">ROUND(F15*G15*H15*I15,-3)</f>
        <v>0</v>
      </c>
      <c r="K15" s="33">
        <f t="shared" si="0"/>
        <v>0</v>
      </c>
    </row>
    <row r="16" spans="1:14" s="31" customFormat="1" ht="110.25">
      <c r="A16" s="41"/>
      <c r="B16" s="41"/>
      <c r="C16" s="40" t="s">
        <v>308</v>
      </c>
      <c r="D16" s="211" t="s">
        <v>307</v>
      </c>
      <c r="E16" s="73" t="s">
        <v>16</v>
      </c>
      <c r="F16" s="210">
        <f>13.8*7.7+13.8*7.7+13.8*7.7</f>
        <v>318.78000000000003</v>
      </c>
      <c r="G16" s="72">
        <v>5089000</v>
      </c>
      <c r="H16" s="71">
        <v>0.4</v>
      </c>
      <c r="I16" s="44">
        <v>1</v>
      </c>
      <c r="J16" s="70">
        <f t="shared" si="1"/>
        <v>648909000</v>
      </c>
      <c r="K16" s="33">
        <f t="shared" si="0"/>
        <v>648909000</v>
      </c>
      <c r="L16" s="32"/>
      <c r="M16" s="32"/>
    </row>
    <row r="17" spans="1:13" s="159" customFormat="1" ht="65.25" customHeight="1">
      <c r="A17" s="30"/>
      <c r="B17" s="30"/>
      <c r="C17" s="167" t="s">
        <v>170</v>
      </c>
      <c r="D17" s="166" t="s">
        <v>169</v>
      </c>
      <c r="E17" s="165" t="s">
        <v>168</v>
      </c>
      <c r="F17" s="164">
        <v>1</v>
      </c>
      <c r="G17" s="218">
        <f>J16</f>
        <v>648909000</v>
      </c>
      <c r="H17" s="162">
        <v>0.3</v>
      </c>
      <c r="I17" s="161">
        <v>1</v>
      </c>
      <c r="J17" s="160">
        <f t="shared" si="1"/>
        <v>194673000</v>
      </c>
      <c r="K17" s="33">
        <f t="shared" si="0"/>
        <v>194673000</v>
      </c>
    </row>
    <row r="18" spans="1:13" s="31" customFormat="1" ht="63">
      <c r="A18" s="41"/>
      <c r="B18" s="41"/>
      <c r="C18" s="40" t="s">
        <v>306</v>
      </c>
      <c r="D18" s="74" t="s">
        <v>305</v>
      </c>
      <c r="E18" s="73" t="s">
        <v>16</v>
      </c>
      <c r="F18" s="38">
        <f xml:space="preserve"> 16*1.35</f>
        <v>21.6</v>
      </c>
      <c r="G18" s="72">
        <v>339000</v>
      </c>
      <c r="H18" s="131">
        <v>0.4</v>
      </c>
      <c r="I18" s="44">
        <v>1</v>
      </c>
      <c r="J18" s="217">
        <f t="shared" si="1"/>
        <v>2929000</v>
      </c>
      <c r="K18" s="33">
        <f t="shared" si="0"/>
        <v>2929000</v>
      </c>
      <c r="L18" s="32"/>
      <c r="M18" s="32"/>
    </row>
    <row r="19" spans="1:13" s="159" customFormat="1" ht="65.25" customHeight="1">
      <c r="A19" s="30"/>
      <c r="B19" s="30"/>
      <c r="C19" s="167" t="s">
        <v>170</v>
      </c>
      <c r="D19" s="166" t="s">
        <v>169</v>
      </c>
      <c r="E19" s="165" t="s">
        <v>168</v>
      </c>
      <c r="F19" s="164">
        <v>1</v>
      </c>
      <c r="G19" s="163">
        <f>J18</f>
        <v>2929000</v>
      </c>
      <c r="H19" s="162">
        <v>0.3</v>
      </c>
      <c r="I19" s="161">
        <v>1</v>
      </c>
      <c r="J19" s="160">
        <f t="shared" si="1"/>
        <v>879000</v>
      </c>
      <c r="K19" s="33">
        <f t="shared" si="0"/>
        <v>879000</v>
      </c>
    </row>
    <row r="20" spans="1:13" s="31" customFormat="1" ht="47.25">
      <c r="A20" s="41"/>
      <c r="B20" s="41"/>
      <c r="C20" s="40" t="s">
        <v>304</v>
      </c>
      <c r="D20" s="211" t="s">
        <v>45</v>
      </c>
      <c r="E20" s="73" t="s">
        <v>16</v>
      </c>
      <c r="F20" s="210">
        <f xml:space="preserve"> 4.7*2+2.5*2+18*1.6+5*0.3</f>
        <v>44.7</v>
      </c>
      <c r="G20" s="72">
        <v>792000</v>
      </c>
      <c r="H20" s="71">
        <v>0.4</v>
      </c>
      <c r="I20" s="44">
        <v>1</v>
      </c>
      <c r="J20" s="70">
        <f t="shared" si="1"/>
        <v>14161000</v>
      </c>
      <c r="K20" s="33">
        <f t="shared" si="0"/>
        <v>14161000</v>
      </c>
      <c r="L20" s="32"/>
      <c r="M20" s="32"/>
    </row>
    <row r="21" spans="1:13" s="159" customFormat="1" ht="65.25" customHeight="1">
      <c r="A21" s="30"/>
      <c r="B21" s="30"/>
      <c r="C21" s="167" t="s">
        <v>170</v>
      </c>
      <c r="D21" s="166" t="s">
        <v>169</v>
      </c>
      <c r="E21" s="165" t="s">
        <v>168</v>
      </c>
      <c r="F21" s="164">
        <v>1</v>
      </c>
      <c r="G21" s="163">
        <f>J20</f>
        <v>14161000</v>
      </c>
      <c r="H21" s="162">
        <v>0.3</v>
      </c>
      <c r="I21" s="161">
        <v>1</v>
      </c>
      <c r="J21" s="160">
        <f t="shared" si="1"/>
        <v>4248000</v>
      </c>
      <c r="K21" s="33">
        <f t="shared" si="0"/>
        <v>4248000</v>
      </c>
    </row>
    <row r="22" spans="1:13" s="31" customFormat="1" ht="47.25">
      <c r="A22" s="41"/>
      <c r="B22" s="41"/>
      <c r="C22" s="40" t="s">
        <v>303</v>
      </c>
      <c r="D22" s="74" t="s">
        <v>19</v>
      </c>
      <c r="E22" s="73" t="s">
        <v>16</v>
      </c>
      <c r="F22" s="38">
        <f>7.9*8.3</f>
        <v>65.570000000000007</v>
      </c>
      <c r="G22" s="72">
        <v>453000</v>
      </c>
      <c r="H22" s="71">
        <v>0.4</v>
      </c>
      <c r="I22" s="44">
        <v>1</v>
      </c>
      <c r="J22" s="70">
        <f t="shared" si="1"/>
        <v>11881000</v>
      </c>
      <c r="K22" s="33">
        <f t="shared" si="0"/>
        <v>11881000</v>
      </c>
      <c r="L22" s="32"/>
      <c r="M22" s="32"/>
    </row>
    <row r="23" spans="1:13" s="159" customFormat="1" ht="65.25" customHeight="1">
      <c r="A23" s="30"/>
      <c r="B23" s="30"/>
      <c r="C23" s="167" t="s">
        <v>170</v>
      </c>
      <c r="D23" s="166" t="s">
        <v>169</v>
      </c>
      <c r="E23" s="165" t="s">
        <v>168</v>
      </c>
      <c r="F23" s="164">
        <v>1</v>
      </c>
      <c r="G23" s="163">
        <f>J22</f>
        <v>11881000</v>
      </c>
      <c r="H23" s="162">
        <v>0.3</v>
      </c>
      <c r="I23" s="161">
        <v>1</v>
      </c>
      <c r="J23" s="160">
        <f t="shared" si="1"/>
        <v>3564000</v>
      </c>
      <c r="K23" s="33">
        <f t="shared" si="0"/>
        <v>3564000</v>
      </c>
    </row>
    <row r="24" spans="1:13" s="31" customFormat="1" ht="47.25">
      <c r="A24" s="41"/>
      <c r="B24" s="41"/>
      <c r="C24" s="40" t="s">
        <v>302</v>
      </c>
      <c r="D24" s="74" t="s">
        <v>64</v>
      </c>
      <c r="E24" s="73" t="s">
        <v>16</v>
      </c>
      <c r="F24" s="38">
        <f>7.7*10+5.6*4.5</f>
        <v>102.2</v>
      </c>
      <c r="G24" s="72">
        <v>339000</v>
      </c>
      <c r="H24" s="131">
        <v>0.4</v>
      </c>
      <c r="I24" s="44">
        <v>1</v>
      </c>
      <c r="J24" s="70">
        <f t="shared" si="1"/>
        <v>13858000</v>
      </c>
      <c r="K24" s="33">
        <f t="shared" si="0"/>
        <v>13858000</v>
      </c>
      <c r="L24" s="32"/>
      <c r="M24" s="32"/>
    </row>
    <row r="25" spans="1:13" s="159" customFormat="1" ht="65.25" customHeight="1">
      <c r="A25" s="30"/>
      <c r="B25" s="30"/>
      <c r="C25" s="167" t="s">
        <v>170</v>
      </c>
      <c r="D25" s="166" t="s">
        <v>169</v>
      </c>
      <c r="E25" s="165" t="s">
        <v>168</v>
      </c>
      <c r="F25" s="164">
        <v>1</v>
      </c>
      <c r="G25" s="163">
        <f>J24</f>
        <v>13858000</v>
      </c>
      <c r="H25" s="162">
        <v>0.3</v>
      </c>
      <c r="I25" s="161">
        <v>1</v>
      </c>
      <c r="J25" s="160">
        <f t="shared" si="1"/>
        <v>4157000</v>
      </c>
      <c r="K25" s="33">
        <f t="shared" si="0"/>
        <v>4157000</v>
      </c>
    </row>
    <row r="26" spans="1:13" s="31" customFormat="1" ht="47.25">
      <c r="A26" s="41"/>
      <c r="B26" s="41"/>
      <c r="C26" s="40" t="s">
        <v>301</v>
      </c>
      <c r="D26" s="211" t="s">
        <v>248</v>
      </c>
      <c r="E26" s="216" t="s">
        <v>300</v>
      </c>
      <c r="F26" s="215">
        <f>(7.5+4.5)*1.5</f>
        <v>18</v>
      </c>
      <c r="G26" s="214">
        <v>236000</v>
      </c>
      <c r="H26" s="213">
        <v>0.4</v>
      </c>
      <c r="I26" s="44">
        <v>1</v>
      </c>
      <c r="J26" s="212">
        <f t="shared" si="1"/>
        <v>1699000</v>
      </c>
      <c r="K26" s="33">
        <f t="shared" si="0"/>
        <v>1699000</v>
      </c>
      <c r="L26" s="32"/>
      <c r="M26" s="32"/>
    </row>
    <row r="27" spans="1:13" s="159" customFormat="1" ht="65.25" customHeight="1">
      <c r="A27" s="30"/>
      <c r="B27" s="30"/>
      <c r="C27" s="167" t="s">
        <v>170</v>
      </c>
      <c r="D27" s="166" t="s">
        <v>169</v>
      </c>
      <c r="E27" s="165" t="s">
        <v>168</v>
      </c>
      <c r="F27" s="164">
        <v>1</v>
      </c>
      <c r="G27" s="163">
        <f>J26</f>
        <v>1699000</v>
      </c>
      <c r="H27" s="162">
        <v>0.3</v>
      </c>
      <c r="I27" s="161">
        <v>1</v>
      </c>
      <c r="J27" s="160">
        <f t="shared" si="1"/>
        <v>510000</v>
      </c>
      <c r="K27" s="33">
        <f t="shared" si="0"/>
        <v>510000</v>
      </c>
    </row>
    <row r="28" spans="1:13" s="31" customFormat="1" ht="47.25">
      <c r="A28" s="41"/>
      <c r="B28" s="41"/>
      <c r="C28" s="40" t="s">
        <v>299</v>
      </c>
      <c r="D28" s="69" t="s">
        <v>17</v>
      </c>
      <c r="E28" s="68" t="s">
        <v>16</v>
      </c>
      <c r="F28" s="67">
        <f>4.2*1.85+4.8*1.4</f>
        <v>14.49</v>
      </c>
      <c r="G28" s="66">
        <v>215000</v>
      </c>
      <c r="H28" s="65">
        <v>0.4</v>
      </c>
      <c r="I28" s="44">
        <v>1</v>
      </c>
      <c r="J28" s="64">
        <f t="shared" si="1"/>
        <v>1246000</v>
      </c>
      <c r="K28" s="33">
        <f t="shared" si="0"/>
        <v>1246000</v>
      </c>
      <c r="L28" s="32"/>
      <c r="M28" s="32"/>
    </row>
    <row r="29" spans="1:13" s="159" customFormat="1" ht="65.25" customHeight="1">
      <c r="A29" s="30"/>
      <c r="B29" s="30"/>
      <c r="C29" s="167" t="s">
        <v>170</v>
      </c>
      <c r="D29" s="166" t="s">
        <v>169</v>
      </c>
      <c r="E29" s="165" t="s">
        <v>168</v>
      </c>
      <c r="F29" s="164">
        <v>1</v>
      </c>
      <c r="G29" s="163">
        <f>J28</f>
        <v>1246000</v>
      </c>
      <c r="H29" s="162">
        <v>0.3</v>
      </c>
      <c r="I29" s="161">
        <v>1</v>
      </c>
      <c r="J29" s="160">
        <f t="shared" si="1"/>
        <v>374000</v>
      </c>
      <c r="K29" s="33">
        <f t="shared" si="0"/>
        <v>374000</v>
      </c>
    </row>
    <row r="30" spans="1:13" s="31" customFormat="1" ht="63">
      <c r="A30" s="41"/>
      <c r="B30" s="41"/>
      <c r="C30" s="40" t="s">
        <v>298</v>
      </c>
      <c r="D30" s="211" t="s">
        <v>43</v>
      </c>
      <c r="E30" s="73" t="s">
        <v>291</v>
      </c>
      <c r="F30" s="210">
        <f>0.3*0.3*2.8</f>
        <v>0.252</v>
      </c>
      <c r="G30" s="72">
        <v>2828000</v>
      </c>
      <c r="H30" s="71">
        <v>0.4</v>
      </c>
      <c r="I30" s="44">
        <v>1</v>
      </c>
      <c r="J30" s="70">
        <f t="shared" si="1"/>
        <v>285000</v>
      </c>
      <c r="K30" s="33">
        <f t="shared" si="0"/>
        <v>285000</v>
      </c>
      <c r="L30" s="32"/>
      <c r="M30" s="32"/>
    </row>
    <row r="31" spans="1:13" s="159" customFormat="1" ht="65.25" customHeight="1">
      <c r="A31" s="30"/>
      <c r="B31" s="30"/>
      <c r="C31" s="167" t="s">
        <v>170</v>
      </c>
      <c r="D31" s="166" t="s">
        <v>169</v>
      </c>
      <c r="E31" s="165" t="s">
        <v>168</v>
      </c>
      <c r="F31" s="164">
        <v>1</v>
      </c>
      <c r="G31" s="163">
        <f>J30</f>
        <v>285000</v>
      </c>
      <c r="H31" s="162">
        <v>0.3</v>
      </c>
      <c r="I31" s="161">
        <v>1</v>
      </c>
      <c r="J31" s="160">
        <f t="shared" si="1"/>
        <v>86000</v>
      </c>
      <c r="K31" s="33">
        <f t="shared" si="0"/>
        <v>86000</v>
      </c>
    </row>
    <row r="32" spans="1:13" s="31" customFormat="1" ht="63">
      <c r="A32" s="41"/>
      <c r="B32" s="41"/>
      <c r="C32" s="40" t="s">
        <v>297</v>
      </c>
      <c r="D32" s="211" t="s">
        <v>296</v>
      </c>
      <c r="E32" s="73" t="s">
        <v>16</v>
      </c>
      <c r="F32" s="210">
        <f>1.6*2</f>
        <v>3.2</v>
      </c>
      <c r="G32" s="72">
        <v>679000</v>
      </c>
      <c r="H32" s="71">
        <v>0.4</v>
      </c>
      <c r="I32" s="44">
        <v>1</v>
      </c>
      <c r="J32" s="70">
        <f t="shared" si="1"/>
        <v>869000</v>
      </c>
      <c r="K32" s="33">
        <f t="shared" si="0"/>
        <v>869000</v>
      </c>
      <c r="L32" s="32"/>
      <c r="M32" s="32"/>
    </row>
    <row r="33" spans="1:13" s="159" customFormat="1" ht="65.25" customHeight="1">
      <c r="A33" s="30"/>
      <c r="B33" s="30"/>
      <c r="C33" s="167" t="s">
        <v>170</v>
      </c>
      <c r="D33" s="166" t="s">
        <v>169</v>
      </c>
      <c r="E33" s="165" t="s">
        <v>168</v>
      </c>
      <c r="F33" s="164">
        <v>1</v>
      </c>
      <c r="G33" s="163">
        <f>J32</f>
        <v>869000</v>
      </c>
      <c r="H33" s="162">
        <v>0.3</v>
      </c>
      <c r="I33" s="161">
        <v>1</v>
      </c>
      <c r="J33" s="160">
        <f t="shared" si="1"/>
        <v>261000</v>
      </c>
      <c r="K33" s="33">
        <f t="shared" si="0"/>
        <v>261000</v>
      </c>
    </row>
    <row r="34" spans="1:13" s="31" customFormat="1" ht="47.25">
      <c r="A34" s="41"/>
      <c r="B34" s="41"/>
      <c r="C34" s="40" t="s">
        <v>295</v>
      </c>
      <c r="D34" s="74" t="s">
        <v>294</v>
      </c>
      <c r="E34" s="73" t="s">
        <v>291</v>
      </c>
      <c r="F34" s="38">
        <f>3.45*0.5*0.25*12 +8.2*0.2*0.3</f>
        <v>5.6670000000000007</v>
      </c>
      <c r="G34" s="72">
        <v>1000000</v>
      </c>
      <c r="H34" s="208">
        <v>0.4</v>
      </c>
      <c r="I34" s="44">
        <v>1</v>
      </c>
      <c r="J34" s="70">
        <f t="shared" si="1"/>
        <v>2267000</v>
      </c>
      <c r="K34" s="33">
        <f t="shared" si="0"/>
        <v>2267000</v>
      </c>
      <c r="L34" s="32"/>
      <c r="M34" s="32"/>
    </row>
    <row r="35" spans="1:13" s="159" customFormat="1" ht="65.25" customHeight="1">
      <c r="A35" s="30"/>
      <c r="B35" s="30"/>
      <c r="C35" s="167" t="s">
        <v>170</v>
      </c>
      <c r="D35" s="166" t="s">
        <v>169</v>
      </c>
      <c r="E35" s="165" t="s">
        <v>168</v>
      </c>
      <c r="F35" s="164">
        <v>1</v>
      </c>
      <c r="G35" s="163">
        <f>J34</f>
        <v>2267000</v>
      </c>
      <c r="H35" s="162">
        <v>0.3</v>
      </c>
      <c r="I35" s="161">
        <v>1</v>
      </c>
      <c r="J35" s="160">
        <f t="shared" si="1"/>
        <v>680000</v>
      </c>
      <c r="K35" s="33">
        <f t="shared" si="0"/>
        <v>680000</v>
      </c>
    </row>
    <row r="36" spans="1:13" s="31" customFormat="1" ht="63">
      <c r="A36" s="41"/>
      <c r="B36" s="41"/>
      <c r="C36" s="40" t="s">
        <v>293</v>
      </c>
      <c r="D36" s="211" t="s">
        <v>292</v>
      </c>
      <c r="E36" s="73" t="s">
        <v>291</v>
      </c>
      <c r="F36" s="210">
        <f>11*1*0.3+4.4*1*0.3</f>
        <v>4.62</v>
      </c>
      <c r="G36" s="209">
        <v>2482000</v>
      </c>
      <c r="H36" s="71">
        <v>0.4</v>
      </c>
      <c r="I36" s="44">
        <v>1</v>
      </c>
      <c r="J36" s="70">
        <f t="shared" si="1"/>
        <v>4587000</v>
      </c>
      <c r="K36" s="33">
        <f t="shared" si="0"/>
        <v>4587000</v>
      </c>
      <c r="L36" s="32"/>
      <c r="M36" s="32"/>
    </row>
    <row r="37" spans="1:13" s="159" customFormat="1" ht="65.25" customHeight="1">
      <c r="A37" s="30"/>
      <c r="B37" s="30"/>
      <c r="C37" s="167" t="s">
        <v>170</v>
      </c>
      <c r="D37" s="166" t="s">
        <v>169</v>
      </c>
      <c r="E37" s="165" t="s">
        <v>168</v>
      </c>
      <c r="F37" s="164">
        <v>1</v>
      </c>
      <c r="G37" s="163">
        <f>J36</f>
        <v>4587000</v>
      </c>
      <c r="H37" s="162">
        <v>0.3</v>
      </c>
      <c r="I37" s="161">
        <v>1</v>
      </c>
      <c r="J37" s="160">
        <f t="shared" si="1"/>
        <v>1376000</v>
      </c>
      <c r="K37" s="33">
        <f t="shared" si="0"/>
        <v>1376000</v>
      </c>
    </row>
    <row r="38" spans="1:13" s="31" customFormat="1" ht="47.25">
      <c r="A38" s="41"/>
      <c r="B38" s="41"/>
      <c r="C38" s="40" t="s">
        <v>290</v>
      </c>
      <c r="D38" s="74" t="s">
        <v>289</v>
      </c>
      <c r="E38" s="73" t="s">
        <v>16</v>
      </c>
      <c r="F38" s="38">
        <f>10.1*5.5</f>
        <v>55.55</v>
      </c>
      <c r="G38" s="72">
        <v>213000</v>
      </c>
      <c r="H38" s="208">
        <v>0.4</v>
      </c>
      <c r="I38" s="44">
        <v>1</v>
      </c>
      <c r="J38" s="70">
        <f t="shared" si="1"/>
        <v>4733000</v>
      </c>
      <c r="K38" s="33">
        <f t="shared" si="0"/>
        <v>4733000</v>
      </c>
      <c r="L38" s="32"/>
      <c r="M38" s="32"/>
    </row>
    <row r="39" spans="1:13" s="159" customFormat="1" ht="65.25" customHeight="1">
      <c r="A39" s="30"/>
      <c r="B39" s="30"/>
      <c r="C39" s="167" t="s">
        <v>170</v>
      </c>
      <c r="D39" s="166" t="s">
        <v>169</v>
      </c>
      <c r="E39" s="165" t="s">
        <v>168</v>
      </c>
      <c r="F39" s="164">
        <v>1</v>
      </c>
      <c r="G39" s="163">
        <f>J38</f>
        <v>4733000</v>
      </c>
      <c r="H39" s="162">
        <v>0.3</v>
      </c>
      <c r="I39" s="161">
        <v>1</v>
      </c>
      <c r="J39" s="160">
        <f t="shared" si="1"/>
        <v>1420000</v>
      </c>
      <c r="K39" s="33">
        <f t="shared" si="0"/>
        <v>1420000</v>
      </c>
    </row>
    <row r="40" spans="1:13" s="31" customFormat="1" ht="31.5">
      <c r="A40" s="41"/>
      <c r="B40" s="41"/>
      <c r="C40" s="40" t="s">
        <v>288</v>
      </c>
      <c r="D40" s="39" t="s">
        <v>61</v>
      </c>
      <c r="E40" s="39" t="s">
        <v>4</v>
      </c>
      <c r="F40" s="113">
        <v>1</v>
      </c>
      <c r="G40" s="37">
        <v>532550</v>
      </c>
      <c r="H40" s="36">
        <v>1</v>
      </c>
      <c r="I40" s="35">
        <v>1</v>
      </c>
      <c r="J40" s="34">
        <f t="shared" si="1"/>
        <v>533000</v>
      </c>
      <c r="K40" s="33">
        <f t="shared" si="0"/>
        <v>533000</v>
      </c>
      <c r="L40" s="32"/>
      <c r="M40" s="32"/>
    </row>
    <row r="41" spans="1:13" s="31" customFormat="1" ht="31.5">
      <c r="A41" s="41"/>
      <c r="B41" s="41"/>
      <c r="C41" s="40" t="s">
        <v>265</v>
      </c>
      <c r="D41" s="39" t="s">
        <v>264</v>
      </c>
      <c r="E41" s="39" t="s">
        <v>4</v>
      </c>
      <c r="F41" s="113">
        <v>2</v>
      </c>
      <c r="G41" s="37">
        <v>26730</v>
      </c>
      <c r="H41" s="36">
        <v>1</v>
      </c>
      <c r="I41" s="35">
        <v>1</v>
      </c>
      <c r="J41" s="34">
        <f t="shared" si="1"/>
        <v>53000</v>
      </c>
      <c r="K41" s="33">
        <f t="shared" si="0"/>
        <v>53000</v>
      </c>
      <c r="L41" s="32"/>
      <c r="M41" s="32"/>
    </row>
    <row r="42" spans="1:13" s="31" customFormat="1" ht="31.5">
      <c r="A42" s="41"/>
      <c r="B42" s="41"/>
      <c r="C42" s="40" t="s">
        <v>287</v>
      </c>
      <c r="D42" s="39" t="s">
        <v>5</v>
      </c>
      <c r="E42" s="39" t="s">
        <v>4</v>
      </c>
      <c r="F42" s="38">
        <v>54</v>
      </c>
      <c r="G42" s="37">
        <v>26730</v>
      </c>
      <c r="H42" s="36">
        <v>1</v>
      </c>
      <c r="I42" s="35">
        <v>1</v>
      </c>
      <c r="J42" s="34">
        <f t="shared" si="1"/>
        <v>1443000</v>
      </c>
      <c r="K42" s="33">
        <f t="shared" si="0"/>
        <v>1443000</v>
      </c>
      <c r="L42" s="32"/>
      <c r="M42" s="32"/>
    </row>
    <row r="43" spans="1:13" s="31" customFormat="1" ht="31.5">
      <c r="A43" s="41"/>
      <c r="B43" s="41"/>
      <c r="C43" s="40" t="s">
        <v>286</v>
      </c>
      <c r="D43" s="39" t="s">
        <v>285</v>
      </c>
      <c r="E43" s="39" t="s">
        <v>4</v>
      </c>
      <c r="F43" s="113">
        <v>10</v>
      </c>
      <c r="G43" s="37">
        <v>4840</v>
      </c>
      <c r="H43" s="36">
        <v>1</v>
      </c>
      <c r="I43" s="35">
        <v>1</v>
      </c>
      <c r="J43" s="34">
        <f t="shared" si="1"/>
        <v>48000</v>
      </c>
      <c r="K43" s="33">
        <f t="shared" si="0"/>
        <v>48000</v>
      </c>
      <c r="L43" s="32"/>
      <c r="M43" s="32"/>
    </row>
    <row r="44" spans="1:13" s="31" customFormat="1" ht="31.5">
      <c r="A44" s="41"/>
      <c r="B44" s="41"/>
      <c r="C44" s="40" t="s">
        <v>284</v>
      </c>
      <c r="D44" s="39" t="s">
        <v>283</v>
      </c>
      <c r="E44" s="39" t="s">
        <v>16</v>
      </c>
      <c r="F44" s="113">
        <v>5</v>
      </c>
      <c r="G44" s="37">
        <v>4220</v>
      </c>
      <c r="H44" s="36">
        <v>1</v>
      </c>
      <c r="I44" s="35">
        <v>1</v>
      </c>
      <c r="J44" s="34">
        <f t="shared" si="1"/>
        <v>21000</v>
      </c>
      <c r="K44" s="33">
        <f t="shared" si="0"/>
        <v>21000</v>
      </c>
      <c r="L44" s="32"/>
      <c r="M44" s="32"/>
    </row>
    <row r="45" spans="1:13" s="31" customFormat="1" ht="31.5">
      <c r="A45" s="41"/>
      <c r="B45" s="41"/>
      <c r="C45" s="40" t="s">
        <v>282</v>
      </c>
      <c r="D45" s="39" t="s">
        <v>281</v>
      </c>
      <c r="E45" s="39" t="s">
        <v>16</v>
      </c>
      <c r="F45" s="113">
        <v>10</v>
      </c>
      <c r="G45" s="207">
        <v>4220</v>
      </c>
      <c r="H45" s="36">
        <v>1</v>
      </c>
      <c r="I45" s="35">
        <v>1</v>
      </c>
      <c r="J45" s="34">
        <f t="shared" si="1"/>
        <v>42000</v>
      </c>
      <c r="K45" s="33">
        <f t="shared" si="0"/>
        <v>42000</v>
      </c>
      <c r="L45" s="32"/>
      <c r="M45" s="32"/>
    </row>
    <row r="46" spans="1:13" s="31" customFormat="1" ht="31.5">
      <c r="A46" s="41"/>
      <c r="B46" s="41"/>
      <c r="C46" s="40" t="s">
        <v>280</v>
      </c>
      <c r="D46" s="39" t="s">
        <v>61</v>
      </c>
      <c r="E46" s="39" t="s">
        <v>4</v>
      </c>
      <c r="F46" s="113">
        <v>1</v>
      </c>
      <c r="G46" s="37">
        <v>21300</v>
      </c>
      <c r="H46" s="36">
        <v>1</v>
      </c>
      <c r="I46" s="35">
        <v>1</v>
      </c>
      <c r="J46" s="34">
        <f t="shared" si="1"/>
        <v>21000</v>
      </c>
      <c r="K46" s="33">
        <f t="shared" si="0"/>
        <v>21000</v>
      </c>
      <c r="L46" s="32"/>
      <c r="M46" s="32"/>
    </row>
    <row r="47" spans="1:13" s="31" customFormat="1" ht="31.5">
      <c r="A47" s="41"/>
      <c r="B47" s="41"/>
      <c r="C47" s="40" t="s">
        <v>279</v>
      </c>
      <c r="D47" s="39" t="s">
        <v>61</v>
      </c>
      <c r="E47" s="39" t="s">
        <v>16</v>
      </c>
      <c r="F47" s="38">
        <v>10</v>
      </c>
      <c r="G47" s="37">
        <v>10650</v>
      </c>
      <c r="H47" s="36">
        <v>1</v>
      </c>
      <c r="I47" s="35">
        <v>1</v>
      </c>
      <c r="J47" s="34">
        <f t="shared" si="1"/>
        <v>107000</v>
      </c>
      <c r="K47" s="33">
        <f t="shared" si="0"/>
        <v>107000</v>
      </c>
      <c r="L47" s="32"/>
      <c r="M47" s="32"/>
    </row>
    <row r="48" spans="1:13" s="31" customFormat="1" ht="31.5">
      <c r="A48" s="41"/>
      <c r="B48" s="41"/>
      <c r="C48" s="40" t="s">
        <v>278</v>
      </c>
      <c r="D48" s="39" t="s">
        <v>61</v>
      </c>
      <c r="E48" s="39" t="s">
        <v>4</v>
      </c>
      <c r="F48" s="113">
        <v>2</v>
      </c>
      <c r="G48" s="37">
        <v>53260</v>
      </c>
      <c r="H48" s="36">
        <v>1</v>
      </c>
      <c r="I48" s="35">
        <v>1</v>
      </c>
      <c r="J48" s="34">
        <f t="shared" si="1"/>
        <v>107000</v>
      </c>
      <c r="K48" s="33">
        <f t="shared" si="0"/>
        <v>107000</v>
      </c>
      <c r="L48" s="32"/>
      <c r="M48" s="32"/>
    </row>
    <row r="49" spans="1:14" s="42" customFormat="1" ht="33.75" customHeight="1">
      <c r="A49" s="30">
        <v>3</v>
      </c>
      <c r="B49" s="30">
        <v>20</v>
      </c>
      <c r="C49" s="283" t="s">
        <v>277</v>
      </c>
      <c r="D49" s="283"/>
      <c r="E49" s="283"/>
      <c r="F49" s="283"/>
      <c r="G49" s="283"/>
      <c r="H49" s="283"/>
      <c r="I49" s="30"/>
      <c r="J49" s="75">
        <f>SUM(J51:J68)</f>
        <v>11561000</v>
      </c>
      <c r="K49" s="33">
        <f t="shared" si="0"/>
        <v>0</v>
      </c>
      <c r="L49" s="20"/>
      <c r="M49" s="20"/>
      <c r="N49" s="19"/>
    </row>
    <row r="50" spans="1:14" s="53" customFormat="1" ht="73.5" customHeight="1">
      <c r="A50" s="62"/>
      <c r="B50" s="61"/>
      <c r="C50" s="198" t="s">
        <v>200</v>
      </c>
      <c r="D50" s="197"/>
      <c r="E50" s="196"/>
      <c r="F50" s="195"/>
      <c r="G50" s="194"/>
      <c r="H50" s="193"/>
      <c r="I50" s="192"/>
      <c r="J50" s="191">
        <f>ROUND(F50*G50*H50*I50,-3)</f>
        <v>0</v>
      </c>
      <c r="K50" s="33">
        <f t="shared" si="0"/>
        <v>0</v>
      </c>
    </row>
    <row r="51" spans="1:14" s="42" customFormat="1" ht="47.25">
      <c r="A51" s="206"/>
      <c r="B51" s="206"/>
      <c r="C51" s="205" t="s">
        <v>276</v>
      </c>
      <c r="D51" s="28" t="s">
        <v>45</v>
      </c>
      <c r="E51" s="27" t="s">
        <v>25</v>
      </c>
      <c r="F51" s="204">
        <f>0.5*1.8</f>
        <v>0.9</v>
      </c>
      <c r="G51" s="25">
        <v>792000</v>
      </c>
      <c r="H51" s="86">
        <v>0.7</v>
      </c>
      <c r="I51" s="44">
        <v>1</v>
      </c>
      <c r="J51" s="22">
        <f>ROUND(F51*G51*H51*I51,-3)</f>
        <v>499000</v>
      </c>
      <c r="K51" s="33">
        <f t="shared" si="0"/>
        <v>499000</v>
      </c>
      <c r="L51" s="20"/>
      <c r="M51" s="20"/>
      <c r="N51" s="19"/>
    </row>
    <row r="52" spans="1:14" s="159" customFormat="1" ht="65.25" customHeight="1">
      <c r="A52" s="30"/>
      <c r="B52" s="30"/>
      <c r="C52" s="167" t="s">
        <v>170</v>
      </c>
      <c r="D52" s="166" t="s">
        <v>169</v>
      </c>
      <c r="E52" s="165" t="s">
        <v>168</v>
      </c>
      <c r="F52" s="164">
        <v>1</v>
      </c>
      <c r="G52" s="163">
        <f>J51</f>
        <v>499000</v>
      </c>
      <c r="H52" s="162">
        <v>0.3</v>
      </c>
      <c r="I52" s="161">
        <v>1</v>
      </c>
      <c r="J52" s="160">
        <f>ROUND(F52*G52*H52*I52,-3)</f>
        <v>150000</v>
      </c>
      <c r="K52" s="33">
        <f t="shared" si="0"/>
        <v>150000</v>
      </c>
    </row>
    <row r="53" spans="1:14" s="42" customFormat="1" ht="63">
      <c r="A53" s="206"/>
      <c r="B53" s="206"/>
      <c r="C53" s="205" t="s">
        <v>275</v>
      </c>
      <c r="D53" s="28" t="s">
        <v>43</v>
      </c>
      <c r="E53" s="27" t="s">
        <v>2</v>
      </c>
      <c r="F53" s="204">
        <f>0.25*0.25*1.6*8</f>
        <v>0.8</v>
      </c>
      <c r="G53" s="25">
        <v>2828000</v>
      </c>
      <c r="H53" s="85">
        <v>0.6</v>
      </c>
      <c r="I53" s="44">
        <v>1</v>
      </c>
      <c r="J53" s="22">
        <f>ROUND(F53*G53*H53*I53,-3)</f>
        <v>1357000</v>
      </c>
      <c r="K53" s="33">
        <f t="shared" si="0"/>
        <v>1357000</v>
      </c>
      <c r="L53" s="20"/>
      <c r="M53" s="20"/>
      <c r="N53" s="19"/>
    </row>
    <row r="54" spans="1:14" s="159" customFormat="1" ht="65.25" customHeight="1">
      <c r="A54" s="30"/>
      <c r="B54" s="30"/>
      <c r="C54" s="167" t="s">
        <v>170</v>
      </c>
      <c r="D54" s="166" t="s">
        <v>169</v>
      </c>
      <c r="E54" s="165" t="s">
        <v>168</v>
      </c>
      <c r="F54" s="164">
        <v>1</v>
      </c>
      <c r="G54" s="163">
        <f>J53</f>
        <v>1357000</v>
      </c>
      <c r="H54" s="162">
        <v>0.3</v>
      </c>
      <c r="I54" s="161">
        <v>1</v>
      </c>
      <c r="J54" s="160">
        <f>ROUND(F54*G54*H54*I54,-3)</f>
        <v>407000</v>
      </c>
      <c r="K54" s="33">
        <f t="shared" si="0"/>
        <v>407000</v>
      </c>
    </row>
    <row r="55" spans="1:14" s="42" customFormat="1" ht="47.25">
      <c r="A55" s="30"/>
      <c r="B55" s="30"/>
      <c r="C55" s="49" t="s">
        <v>274</v>
      </c>
      <c r="D55" s="48" t="s">
        <v>8</v>
      </c>
      <c r="E55" s="47" t="s">
        <v>7</v>
      </c>
      <c r="F55" s="26">
        <f>19*2</f>
        <v>38</v>
      </c>
      <c r="G55" s="46">
        <v>11000</v>
      </c>
      <c r="H55" s="45">
        <v>0.6</v>
      </c>
      <c r="I55" s="44">
        <v>1</v>
      </c>
      <c r="J55" s="43">
        <f>ROUND((F55*G55*H55*I55),-3)</f>
        <v>251000</v>
      </c>
      <c r="K55" s="33">
        <f t="shared" si="0"/>
        <v>251000</v>
      </c>
      <c r="L55" s="20"/>
      <c r="M55" s="20"/>
      <c r="N55" s="19"/>
    </row>
    <row r="56" spans="1:14" s="159" customFormat="1" ht="65.25" customHeight="1">
      <c r="A56" s="30"/>
      <c r="B56" s="30"/>
      <c r="C56" s="167" t="s">
        <v>170</v>
      </c>
      <c r="D56" s="166" t="s">
        <v>169</v>
      </c>
      <c r="E56" s="165" t="s">
        <v>168</v>
      </c>
      <c r="F56" s="164">
        <v>1</v>
      </c>
      <c r="G56" s="163">
        <f>J55</f>
        <v>251000</v>
      </c>
      <c r="H56" s="162">
        <v>0.3</v>
      </c>
      <c r="I56" s="161">
        <v>1</v>
      </c>
      <c r="J56" s="160">
        <f>ROUND(F56*G56*H56*I56,-3)</f>
        <v>75000</v>
      </c>
      <c r="K56" s="33">
        <f t="shared" si="0"/>
        <v>75000</v>
      </c>
    </row>
    <row r="57" spans="1:14" s="42" customFormat="1" ht="31.5">
      <c r="A57" s="30"/>
      <c r="B57" s="30"/>
      <c r="C57" s="49" t="s">
        <v>273</v>
      </c>
      <c r="D57" s="81" t="s">
        <v>61</v>
      </c>
      <c r="E57" s="81" t="s">
        <v>4</v>
      </c>
      <c r="F57" s="80">
        <v>2</v>
      </c>
      <c r="G57" s="82">
        <v>1065100</v>
      </c>
      <c r="H57" s="78">
        <v>1</v>
      </c>
      <c r="I57" s="77">
        <v>1</v>
      </c>
      <c r="J57" s="76">
        <f>ROUND(F57*G57*H57*I57,-3)</f>
        <v>2130000</v>
      </c>
      <c r="K57" s="33">
        <f t="shared" si="0"/>
        <v>2130000</v>
      </c>
      <c r="L57" s="20"/>
      <c r="M57" s="20"/>
      <c r="N57" s="19"/>
    </row>
    <row r="58" spans="1:14" s="42" customFormat="1" ht="31.5">
      <c r="A58" s="30"/>
      <c r="B58" s="30"/>
      <c r="C58" s="49" t="s">
        <v>272</v>
      </c>
      <c r="D58" s="81" t="s">
        <v>28</v>
      </c>
      <c r="E58" s="81" t="s">
        <v>4</v>
      </c>
      <c r="F58" s="26">
        <v>3</v>
      </c>
      <c r="G58" s="82">
        <v>641190</v>
      </c>
      <c r="H58" s="78">
        <v>1</v>
      </c>
      <c r="I58" s="26">
        <v>1</v>
      </c>
      <c r="J58" s="43">
        <f>ROUND((F58*G58*H58*I58),-3)</f>
        <v>1924000</v>
      </c>
      <c r="K58" s="33">
        <f t="shared" si="0"/>
        <v>1924000</v>
      </c>
      <c r="L58" s="20"/>
      <c r="M58" s="20"/>
      <c r="N58" s="19"/>
    </row>
    <row r="59" spans="1:14" s="42" customFormat="1" ht="31.5">
      <c r="A59" s="30"/>
      <c r="B59" s="30"/>
      <c r="C59" s="49" t="s">
        <v>271</v>
      </c>
      <c r="D59" s="81" t="s">
        <v>34</v>
      </c>
      <c r="E59" s="81" t="s">
        <v>4</v>
      </c>
      <c r="F59" s="26">
        <v>1</v>
      </c>
      <c r="G59" s="82">
        <v>154440</v>
      </c>
      <c r="H59" s="78">
        <v>1</v>
      </c>
      <c r="I59" s="77">
        <v>1</v>
      </c>
      <c r="J59" s="76">
        <f t="shared" ref="J59:J68" si="2">ROUND(F59*G59*H59*I59,-3)</f>
        <v>154000</v>
      </c>
      <c r="K59" s="33">
        <f t="shared" si="0"/>
        <v>154000</v>
      </c>
      <c r="L59" s="20"/>
      <c r="M59" s="20"/>
      <c r="N59" s="19"/>
    </row>
    <row r="60" spans="1:14" s="42" customFormat="1" ht="31.5">
      <c r="A60" s="30"/>
      <c r="B60" s="30"/>
      <c r="C60" s="49" t="s">
        <v>270</v>
      </c>
      <c r="D60" s="81" t="s">
        <v>269</v>
      </c>
      <c r="E60" s="81" t="s">
        <v>4</v>
      </c>
      <c r="F60" s="80">
        <v>1</v>
      </c>
      <c r="G60" s="82">
        <v>308880</v>
      </c>
      <c r="H60" s="78">
        <v>1</v>
      </c>
      <c r="I60" s="77">
        <v>1</v>
      </c>
      <c r="J60" s="76">
        <f t="shared" si="2"/>
        <v>309000</v>
      </c>
      <c r="K60" s="33">
        <f t="shared" si="0"/>
        <v>309000</v>
      </c>
      <c r="L60" s="20"/>
      <c r="M60" s="20"/>
      <c r="N60" s="19"/>
    </row>
    <row r="61" spans="1:14" s="42" customFormat="1" ht="31.5">
      <c r="A61" s="30"/>
      <c r="B61" s="30"/>
      <c r="C61" s="49" t="s">
        <v>268</v>
      </c>
      <c r="D61" s="81" t="s">
        <v>211</v>
      </c>
      <c r="E61" s="81" t="s">
        <v>4</v>
      </c>
      <c r="F61" s="80">
        <v>1</v>
      </c>
      <c r="G61" s="82">
        <v>412190</v>
      </c>
      <c r="H61" s="78">
        <v>1</v>
      </c>
      <c r="I61" s="77">
        <v>1</v>
      </c>
      <c r="J61" s="76">
        <f t="shared" si="2"/>
        <v>412000</v>
      </c>
      <c r="K61" s="33">
        <f t="shared" si="0"/>
        <v>412000</v>
      </c>
      <c r="L61" s="20"/>
      <c r="M61" s="20"/>
      <c r="N61" s="19"/>
    </row>
    <row r="62" spans="1:14" s="42" customFormat="1" ht="47.25">
      <c r="A62" s="30"/>
      <c r="B62" s="30"/>
      <c r="C62" s="49" t="s">
        <v>267</v>
      </c>
      <c r="D62" s="81" t="s">
        <v>207</v>
      </c>
      <c r="E62" s="81" t="s">
        <v>4</v>
      </c>
      <c r="F62" s="80">
        <v>1</v>
      </c>
      <c r="G62" s="82">
        <v>13630</v>
      </c>
      <c r="H62" s="78">
        <v>1</v>
      </c>
      <c r="I62" s="77">
        <v>1</v>
      </c>
      <c r="J62" s="76">
        <f t="shared" si="2"/>
        <v>14000</v>
      </c>
      <c r="K62" s="33">
        <f t="shared" si="0"/>
        <v>14000</v>
      </c>
      <c r="L62" s="20"/>
      <c r="M62" s="20"/>
      <c r="N62" s="19"/>
    </row>
    <row r="63" spans="1:14" s="42" customFormat="1" ht="31.5">
      <c r="A63" s="30"/>
      <c r="B63" s="30"/>
      <c r="C63" s="49" t="s">
        <v>266</v>
      </c>
      <c r="D63" s="81" t="s">
        <v>34</v>
      </c>
      <c r="E63" s="81" t="s">
        <v>4</v>
      </c>
      <c r="F63" s="26">
        <v>1</v>
      </c>
      <c r="G63" s="82">
        <v>112900</v>
      </c>
      <c r="H63" s="78">
        <v>1</v>
      </c>
      <c r="I63" s="77">
        <v>1</v>
      </c>
      <c r="J63" s="76">
        <f t="shared" si="2"/>
        <v>113000</v>
      </c>
      <c r="K63" s="33">
        <f t="shared" si="0"/>
        <v>113000</v>
      </c>
      <c r="L63" s="20"/>
      <c r="M63" s="20"/>
      <c r="N63" s="19"/>
    </row>
    <row r="64" spans="1:14" s="42" customFormat="1" ht="31.5">
      <c r="A64" s="30"/>
      <c r="B64" s="30"/>
      <c r="C64" s="49" t="s">
        <v>265</v>
      </c>
      <c r="D64" s="81" t="s">
        <v>264</v>
      </c>
      <c r="E64" s="81" t="s">
        <v>4</v>
      </c>
      <c r="F64" s="80">
        <v>2</v>
      </c>
      <c r="G64" s="82">
        <v>26730</v>
      </c>
      <c r="H64" s="78">
        <v>1</v>
      </c>
      <c r="I64" s="77">
        <v>1</v>
      </c>
      <c r="J64" s="76">
        <f t="shared" si="2"/>
        <v>53000</v>
      </c>
      <c r="K64" s="33">
        <f t="shared" si="0"/>
        <v>53000</v>
      </c>
      <c r="L64" s="20"/>
      <c r="M64" s="20"/>
      <c r="N64" s="19"/>
    </row>
    <row r="65" spans="1:14" s="42" customFormat="1" ht="47.25">
      <c r="A65" s="30"/>
      <c r="B65" s="30"/>
      <c r="C65" s="49" t="s">
        <v>263</v>
      </c>
      <c r="D65" s="81" t="s">
        <v>262</v>
      </c>
      <c r="E65" s="81" t="s">
        <v>4</v>
      </c>
      <c r="F65" s="80">
        <v>5</v>
      </c>
      <c r="G65" s="82">
        <v>73670</v>
      </c>
      <c r="H65" s="78">
        <v>1</v>
      </c>
      <c r="I65" s="77">
        <v>1</v>
      </c>
      <c r="J65" s="76">
        <f t="shared" si="2"/>
        <v>368000</v>
      </c>
      <c r="K65" s="33">
        <f t="shared" si="0"/>
        <v>368000</v>
      </c>
      <c r="L65" s="20"/>
      <c r="M65" s="20"/>
      <c r="N65" s="19"/>
    </row>
    <row r="66" spans="1:14" s="42" customFormat="1" ht="31.5">
      <c r="A66" s="30"/>
      <c r="B66" s="30"/>
      <c r="C66" s="49" t="s">
        <v>261</v>
      </c>
      <c r="D66" s="81" t="s">
        <v>61</v>
      </c>
      <c r="E66" s="81" t="s">
        <v>4</v>
      </c>
      <c r="F66" s="80">
        <v>5</v>
      </c>
      <c r="G66" s="82">
        <v>532550</v>
      </c>
      <c r="H66" s="78">
        <v>1</v>
      </c>
      <c r="I66" s="77">
        <v>1</v>
      </c>
      <c r="J66" s="76">
        <f t="shared" si="2"/>
        <v>2663000</v>
      </c>
      <c r="K66" s="33">
        <f t="shared" si="0"/>
        <v>2663000</v>
      </c>
      <c r="L66" s="20"/>
      <c r="M66" s="20"/>
      <c r="N66" s="19"/>
    </row>
    <row r="67" spans="1:14" s="42" customFormat="1" ht="31.5">
      <c r="A67" s="30"/>
      <c r="B67" s="30"/>
      <c r="C67" s="49" t="s">
        <v>260</v>
      </c>
      <c r="D67" s="81" t="s">
        <v>61</v>
      </c>
      <c r="E67" s="81" t="s">
        <v>4</v>
      </c>
      <c r="F67" s="80">
        <v>4</v>
      </c>
      <c r="G67" s="82">
        <v>106510</v>
      </c>
      <c r="H67" s="78">
        <v>1</v>
      </c>
      <c r="I67" s="77">
        <v>1</v>
      </c>
      <c r="J67" s="76">
        <f t="shared" si="2"/>
        <v>426000</v>
      </c>
      <c r="K67" s="33">
        <f t="shared" si="0"/>
        <v>426000</v>
      </c>
      <c r="L67" s="20"/>
      <c r="M67" s="20"/>
      <c r="N67" s="19"/>
    </row>
    <row r="68" spans="1:14" s="42" customFormat="1" ht="31.5">
      <c r="A68" s="30"/>
      <c r="B68" s="30"/>
      <c r="C68" s="49" t="s">
        <v>259</v>
      </c>
      <c r="D68" s="81" t="s">
        <v>258</v>
      </c>
      <c r="E68" s="81" t="s">
        <v>4</v>
      </c>
      <c r="F68" s="80">
        <v>1</v>
      </c>
      <c r="G68" s="82">
        <v>255620</v>
      </c>
      <c r="H68" s="78">
        <v>1</v>
      </c>
      <c r="I68" s="77">
        <v>1</v>
      </c>
      <c r="J68" s="76">
        <f t="shared" si="2"/>
        <v>256000</v>
      </c>
      <c r="K68" s="33">
        <f t="shared" si="0"/>
        <v>256000</v>
      </c>
      <c r="L68" s="20"/>
      <c r="M68" s="20"/>
      <c r="N68" s="19"/>
    </row>
    <row r="69" spans="1:14" s="42" customFormat="1" ht="45" customHeight="1">
      <c r="A69" s="129">
        <v>4</v>
      </c>
      <c r="B69" s="129" t="s">
        <v>257</v>
      </c>
      <c r="C69" s="283" t="s">
        <v>256</v>
      </c>
      <c r="D69" s="283"/>
      <c r="E69" s="283"/>
      <c r="F69" s="283"/>
      <c r="G69" s="283"/>
      <c r="H69" s="283"/>
      <c r="I69" s="203"/>
      <c r="J69" s="202">
        <f>SUM(J70:J74)</f>
        <v>64046000</v>
      </c>
      <c r="K69" s="33">
        <f t="shared" si="0"/>
        <v>0</v>
      </c>
      <c r="L69" s="20"/>
      <c r="M69" s="19"/>
      <c r="N69" s="19"/>
    </row>
    <row r="70" spans="1:14" s="53" customFormat="1" ht="73.5" customHeight="1">
      <c r="A70" s="62"/>
      <c r="B70" s="61"/>
      <c r="C70" s="198" t="s">
        <v>200</v>
      </c>
      <c r="D70" s="197"/>
      <c r="E70" s="196"/>
      <c r="F70" s="195"/>
      <c r="G70" s="194"/>
      <c r="H70" s="193"/>
      <c r="I70" s="192"/>
      <c r="J70" s="191">
        <f>ROUND(F70*G70*H70*I70,-3)</f>
        <v>0</v>
      </c>
      <c r="K70" s="33">
        <f t="shared" ref="K70:K133" si="3">ROUND(F70*G70*H70*I70,-3)</f>
        <v>0</v>
      </c>
    </row>
    <row r="71" spans="1:14" s="42" customFormat="1" ht="85.5" customHeight="1">
      <c r="A71" s="97"/>
      <c r="B71" s="97"/>
      <c r="C71" s="29" t="s">
        <v>255</v>
      </c>
      <c r="D71" s="28" t="s">
        <v>253</v>
      </c>
      <c r="E71" s="27" t="s">
        <v>25</v>
      </c>
      <c r="F71" s="87">
        <f>6.9*3</f>
        <v>20.700000000000003</v>
      </c>
      <c r="G71" s="25">
        <v>2975000</v>
      </c>
      <c r="H71" s="24">
        <v>0.4</v>
      </c>
      <c r="I71" s="44">
        <v>1</v>
      </c>
      <c r="J71" s="22">
        <f>ROUND(F71*G71*H71*I71,-3)</f>
        <v>24633000</v>
      </c>
      <c r="K71" s="33">
        <f t="shared" si="3"/>
        <v>24633000</v>
      </c>
      <c r="L71" s="20"/>
      <c r="M71" s="19"/>
      <c r="N71" s="19"/>
    </row>
    <row r="72" spans="1:14" s="159" customFormat="1" ht="65.25" customHeight="1">
      <c r="A72" s="30"/>
      <c r="B72" s="30"/>
      <c r="C72" s="167" t="s">
        <v>170</v>
      </c>
      <c r="D72" s="166" t="s">
        <v>169</v>
      </c>
      <c r="E72" s="165" t="s">
        <v>168</v>
      </c>
      <c r="F72" s="164">
        <v>1</v>
      </c>
      <c r="G72" s="163">
        <f>J71</f>
        <v>24633000</v>
      </c>
      <c r="H72" s="162">
        <v>0.3</v>
      </c>
      <c r="I72" s="161">
        <v>1</v>
      </c>
      <c r="J72" s="160">
        <f>ROUND(F72*G72*H72*I72,-3)</f>
        <v>7390000</v>
      </c>
      <c r="K72" s="33">
        <f t="shared" si="3"/>
        <v>7390000</v>
      </c>
    </row>
    <row r="73" spans="1:14" s="42" customFormat="1" ht="85.5" customHeight="1">
      <c r="A73" s="128"/>
      <c r="B73" s="128"/>
      <c r="C73" s="29" t="s">
        <v>254</v>
      </c>
      <c r="D73" s="28" t="s">
        <v>253</v>
      </c>
      <c r="E73" s="27" t="s">
        <v>25</v>
      </c>
      <c r="F73" s="50">
        <f>6.9*3</f>
        <v>20.700000000000003</v>
      </c>
      <c r="G73" s="25">
        <v>2975000</v>
      </c>
      <c r="H73" s="24">
        <v>0.4</v>
      </c>
      <c r="I73" s="44">
        <v>1</v>
      </c>
      <c r="J73" s="22">
        <f>ROUND(F73*G73*H73*I73,-3)</f>
        <v>24633000</v>
      </c>
      <c r="K73" s="33">
        <f t="shared" si="3"/>
        <v>24633000</v>
      </c>
      <c r="L73" s="20"/>
      <c r="M73" s="19"/>
      <c r="N73" s="19"/>
    </row>
    <row r="74" spans="1:14" s="159" customFormat="1" ht="65.25" customHeight="1">
      <c r="A74" s="30"/>
      <c r="B74" s="30"/>
      <c r="C74" s="167" t="s">
        <v>170</v>
      </c>
      <c r="D74" s="166" t="s">
        <v>169</v>
      </c>
      <c r="E74" s="165" t="s">
        <v>168</v>
      </c>
      <c r="F74" s="164">
        <v>1</v>
      </c>
      <c r="G74" s="163">
        <f>J73</f>
        <v>24633000</v>
      </c>
      <c r="H74" s="162">
        <v>0.3</v>
      </c>
      <c r="I74" s="161">
        <v>1</v>
      </c>
      <c r="J74" s="160">
        <f>ROUND(F74*G74*H74*I74,-3)</f>
        <v>7390000</v>
      </c>
      <c r="K74" s="33">
        <f t="shared" si="3"/>
        <v>7390000</v>
      </c>
    </row>
    <row r="75" spans="1:14" s="42" customFormat="1" ht="40.5" customHeight="1">
      <c r="A75" s="30">
        <v>5</v>
      </c>
      <c r="B75" s="30">
        <v>41</v>
      </c>
      <c r="C75" s="283" t="s">
        <v>252</v>
      </c>
      <c r="D75" s="283"/>
      <c r="E75" s="283"/>
      <c r="F75" s="283"/>
      <c r="G75" s="283"/>
      <c r="H75" s="283"/>
      <c r="I75" s="30"/>
      <c r="J75" s="75">
        <f>SUM(J76:J96)</f>
        <v>137918000</v>
      </c>
      <c r="K75" s="33">
        <f t="shared" si="3"/>
        <v>0</v>
      </c>
      <c r="L75" s="20"/>
      <c r="M75" s="19"/>
      <c r="N75" s="19"/>
    </row>
    <row r="76" spans="1:14" s="53" customFormat="1" ht="73.5" customHeight="1">
      <c r="A76" s="62"/>
      <c r="B76" s="61"/>
      <c r="C76" s="198" t="s">
        <v>200</v>
      </c>
      <c r="D76" s="197"/>
      <c r="E76" s="196"/>
      <c r="F76" s="195"/>
      <c r="G76" s="194"/>
      <c r="H76" s="193"/>
      <c r="I76" s="192"/>
      <c r="J76" s="191">
        <f t="shared" ref="J76:J96" si="4">ROUND(F76*G76*H76*I76,-3)</f>
        <v>0</v>
      </c>
      <c r="K76" s="33">
        <f t="shared" si="3"/>
        <v>0</v>
      </c>
    </row>
    <row r="77" spans="1:14" s="42" customFormat="1" ht="47.25">
      <c r="A77" s="30"/>
      <c r="B77" s="30"/>
      <c r="C77" s="49" t="s">
        <v>251</v>
      </c>
      <c r="D77" s="28" t="s">
        <v>45</v>
      </c>
      <c r="E77" s="27" t="s">
        <v>25</v>
      </c>
      <c r="F77" s="26">
        <f>15.8*3.5+40.4*1.8+4.5*1.5+9*2.8+6.75*0.8</f>
        <v>165.37</v>
      </c>
      <c r="G77" s="25">
        <v>792000</v>
      </c>
      <c r="H77" s="86">
        <v>0.4</v>
      </c>
      <c r="I77" s="44">
        <v>1</v>
      </c>
      <c r="J77" s="22">
        <f t="shared" si="4"/>
        <v>52389000</v>
      </c>
      <c r="K77" s="33">
        <f t="shared" si="3"/>
        <v>52389000</v>
      </c>
      <c r="L77" s="20"/>
      <c r="M77" s="19"/>
      <c r="N77" s="19"/>
    </row>
    <row r="78" spans="1:14" s="159" customFormat="1" ht="65.25" customHeight="1">
      <c r="A78" s="30"/>
      <c r="B78" s="30"/>
      <c r="C78" s="167" t="s">
        <v>170</v>
      </c>
      <c r="D78" s="166" t="s">
        <v>169</v>
      </c>
      <c r="E78" s="165" t="s">
        <v>168</v>
      </c>
      <c r="F78" s="164">
        <v>1</v>
      </c>
      <c r="G78" s="163">
        <f>J77</f>
        <v>52389000</v>
      </c>
      <c r="H78" s="162">
        <v>0.3</v>
      </c>
      <c r="I78" s="161">
        <v>1</v>
      </c>
      <c r="J78" s="160">
        <f t="shared" si="4"/>
        <v>15717000</v>
      </c>
      <c r="K78" s="33">
        <f t="shared" si="3"/>
        <v>15717000</v>
      </c>
    </row>
    <row r="79" spans="1:14" s="42" customFormat="1" ht="63">
      <c r="A79" s="30"/>
      <c r="B79" s="30"/>
      <c r="C79" s="49" t="s">
        <v>250</v>
      </c>
      <c r="D79" s="28" t="s">
        <v>43</v>
      </c>
      <c r="E79" s="27" t="s">
        <v>2</v>
      </c>
      <c r="F79" s="26">
        <f>0.35*0.35*2.8*4</f>
        <v>1.3719999999999997</v>
      </c>
      <c r="G79" s="25">
        <v>2828000</v>
      </c>
      <c r="H79" s="85">
        <v>0.4</v>
      </c>
      <c r="I79" s="84">
        <v>1</v>
      </c>
      <c r="J79" s="22">
        <f t="shared" si="4"/>
        <v>1552000</v>
      </c>
      <c r="K79" s="33">
        <f t="shared" si="3"/>
        <v>1552000</v>
      </c>
      <c r="L79" s="20"/>
      <c r="M79" s="19"/>
      <c r="N79" s="19"/>
    </row>
    <row r="80" spans="1:14" s="159" customFormat="1" ht="65.25" customHeight="1">
      <c r="A80" s="30"/>
      <c r="B80" s="30"/>
      <c r="C80" s="167" t="s">
        <v>170</v>
      </c>
      <c r="D80" s="166" t="s">
        <v>169</v>
      </c>
      <c r="E80" s="165" t="s">
        <v>168</v>
      </c>
      <c r="F80" s="164">
        <v>1</v>
      </c>
      <c r="G80" s="163">
        <f>J79</f>
        <v>1552000</v>
      </c>
      <c r="H80" s="162">
        <v>0.3</v>
      </c>
      <c r="I80" s="161">
        <v>1</v>
      </c>
      <c r="J80" s="160">
        <f t="shared" si="4"/>
        <v>466000</v>
      </c>
      <c r="K80" s="33">
        <f t="shared" si="3"/>
        <v>466000</v>
      </c>
    </row>
    <row r="81" spans="1:14" s="42" customFormat="1" ht="47.25">
      <c r="A81" s="30"/>
      <c r="B81" s="30"/>
      <c r="C81" s="49" t="s">
        <v>249</v>
      </c>
      <c r="D81" s="28" t="s">
        <v>248</v>
      </c>
      <c r="E81" s="27" t="s">
        <v>25</v>
      </c>
      <c r="F81" s="50">
        <f>3.3*1</f>
        <v>3.3</v>
      </c>
      <c r="G81" s="25">
        <v>236000</v>
      </c>
      <c r="H81" s="24">
        <v>0.4</v>
      </c>
      <c r="I81" s="44">
        <v>1</v>
      </c>
      <c r="J81" s="22">
        <f t="shared" si="4"/>
        <v>312000</v>
      </c>
      <c r="K81" s="33">
        <f t="shared" si="3"/>
        <v>312000</v>
      </c>
      <c r="L81" s="20"/>
      <c r="M81" s="19"/>
      <c r="N81" s="19"/>
    </row>
    <row r="82" spans="1:14" s="159" customFormat="1" ht="65.25" customHeight="1">
      <c r="A82" s="30"/>
      <c r="B82" s="30"/>
      <c r="C82" s="167" t="s">
        <v>170</v>
      </c>
      <c r="D82" s="166" t="s">
        <v>169</v>
      </c>
      <c r="E82" s="165" t="s">
        <v>168</v>
      </c>
      <c r="F82" s="164">
        <v>1</v>
      </c>
      <c r="G82" s="163">
        <f>J81</f>
        <v>312000</v>
      </c>
      <c r="H82" s="162">
        <v>0.3</v>
      </c>
      <c r="I82" s="161">
        <v>1</v>
      </c>
      <c r="J82" s="160">
        <f t="shared" si="4"/>
        <v>94000</v>
      </c>
      <c r="K82" s="33">
        <f t="shared" si="3"/>
        <v>94000</v>
      </c>
    </row>
    <row r="83" spans="1:14" s="42" customFormat="1" ht="47.25">
      <c r="A83" s="30"/>
      <c r="B83" s="30"/>
      <c r="C83" s="49" t="s">
        <v>247</v>
      </c>
      <c r="D83" s="28" t="s">
        <v>246</v>
      </c>
      <c r="E83" s="27" t="s">
        <v>25</v>
      </c>
      <c r="F83" s="50">
        <f>3.2*2.1</f>
        <v>6.7200000000000006</v>
      </c>
      <c r="G83" s="25">
        <v>1228000</v>
      </c>
      <c r="H83" s="24">
        <v>0.4</v>
      </c>
      <c r="I83" s="44">
        <v>1</v>
      </c>
      <c r="J83" s="22">
        <f t="shared" si="4"/>
        <v>3301000</v>
      </c>
      <c r="K83" s="33">
        <f t="shared" si="3"/>
        <v>3301000</v>
      </c>
      <c r="L83" s="20"/>
      <c r="M83" s="19"/>
      <c r="N83" s="19"/>
    </row>
    <row r="84" spans="1:14" s="159" customFormat="1" ht="65.25" customHeight="1">
      <c r="A84" s="30"/>
      <c r="B84" s="30"/>
      <c r="C84" s="167" t="s">
        <v>170</v>
      </c>
      <c r="D84" s="166" t="s">
        <v>169</v>
      </c>
      <c r="E84" s="165" t="s">
        <v>168</v>
      </c>
      <c r="F84" s="164">
        <v>1</v>
      </c>
      <c r="G84" s="163">
        <f>J83</f>
        <v>3301000</v>
      </c>
      <c r="H84" s="162">
        <v>0.3</v>
      </c>
      <c r="I84" s="161">
        <v>1</v>
      </c>
      <c r="J84" s="160">
        <f t="shared" si="4"/>
        <v>990000</v>
      </c>
      <c r="K84" s="33">
        <f t="shared" si="3"/>
        <v>990000</v>
      </c>
    </row>
    <row r="85" spans="1:14" s="42" customFormat="1" ht="47.25">
      <c r="A85" s="30"/>
      <c r="B85" s="30"/>
      <c r="C85" s="49" t="s">
        <v>245</v>
      </c>
      <c r="D85" s="28" t="s">
        <v>244</v>
      </c>
      <c r="E85" s="27" t="s">
        <v>2</v>
      </c>
      <c r="F85" s="50">
        <f>6.75*5*3.5</f>
        <v>118.125</v>
      </c>
      <c r="G85" s="25">
        <v>801000</v>
      </c>
      <c r="H85" s="24">
        <v>0.4</v>
      </c>
      <c r="I85" s="44">
        <v>1</v>
      </c>
      <c r="J85" s="22">
        <f t="shared" si="4"/>
        <v>37847000</v>
      </c>
      <c r="K85" s="33">
        <f t="shared" si="3"/>
        <v>37847000</v>
      </c>
      <c r="L85" s="20"/>
      <c r="M85" s="19"/>
      <c r="N85" s="19"/>
    </row>
    <row r="86" spans="1:14" s="159" customFormat="1" ht="65.25" customHeight="1">
      <c r="A86" s="30"/>
      <c r="B86" s="30"/>
      <c r="C86" s="167" t="s">
        <v>170</v>
      </c>
      <c r="D86" s="166" t="s">
        <v>169</v>
      </c>
      <c r="E86" s="165" t="s">
        <v>168</v>
      </c>
      <c r="F86" s="164">
        <v>1</v>
      </c>
      <c r="G86" s="163">
        <f>J85</f>
        <v>37847000</v>
      </c>
      <c r="H86" s="162">
        <v>0.3</v>
      </c>
      <c r="I86" s="161">
        <v>1</v>
      </c>
      <c r="J86" s="160">
        <f t="shared" si="4"/>
        <v>11354000</v>
      </c>
      <c r="K86" s="33">
        <f t="shared" si="3"/>
        <v>11354000</v>
      </c>
    </row>
    <row r="87" spans="1:14" s="42" customFormat="1" ht="63">
      <c r="A87" s="30"/>
      <c r="B87" s="30"/>
      <c r="C87" s="49" t="s">
        <v>243</v>
      </c>
      <c r="D87" s="28" t="s">
        <v>43</v>
      </c>
      <c r="E87" s="27" t="s">
        <v>2</v>
      </c>
      <c r="F87" s="50">
        <f>8.5*0.8*0.12</f>
        <v>0.81600000000000006</v>
      </c>
      <c r="G87" s="25">
        <v>2828000</v>
      </c>
      <c r="H87" s="24">
        <v>0.4</v>
      </c>
      <c r="I87" s="44">
        <v>1</v>
      </c>
      <c r="J87" s="22">
        <f t="shared" si="4"/>
        <v>923000</v>
      </c>
      <c r="K87" s="33">
        <f t="shared" si="3"/>
        <v>923000</v>
      </c>
      <c r="L87" s="20"/>
      <c r="M87" s="19"/>
      <c r="N87" s="19"/>
    </row>
    <row r="88" spans="1:14" s="159" customFormat="1" ht="65.25" customHeight="1">
      <c r="A88" s="30"/>
      <c r="B88" s="30"/>
      <c r="C88" s="167" t="s">
        <v>170</v>
      </c>
      <c r="D88" s="166" t="s">
        <v>169</v>
      </c>
      <c r="E88" s="165" t="s">
        <v>168</v>
      </c>
      <c r="F88" s="164">
        <v>1</v>
      </c>
      <c r="G88" s="163">
        <f>J87</f>
        <v>923000</v>
      </c>
      <c r="H88" s="162">
        <v>0.3</v>
      </c>
      <c r="I88" s="161">
        <v>1</v>
      </c>
      <c r="J88" s="160">
        <f t="shared" si="4"/>
        <v>277000</v>
      </c>
      <c r="K88" s="33">
        <f t="shared" si="3"/>
        <v>277000</v>
      </c>
    </row>
    <row r="89" spans="1:14" s="42" customFormat="1" ht="47.25">
      <c r="A89" s="30"/>
      <c r="B89" s="30"/>
      <c r="C89" s="49" t="s">
        <v>242</v>
      </c>
      <c r="D89" s="28" t="s">
        <v>241</v>
      </c>
      <c r="E89" s="27" t="s">
        <v>25</v>
      </c>
      <c r="F89" s="50">
        <f>6.75*0.8*2</f>
        <v>10.8</v>
      </c>
      <c r="G89" s="25">
        <v>566000</v>
      </c>
      <c r="H89" s="24">
        <v>0.4</v>
      </c>
      <c r="I89" s="44">
        <v>1</v>
      </c>
      <c r="J89" s="22">
        <f t="shared" si="4"/>
        <v>2445000</v>
      </c>
      <c r="K89" s="33">
        <f t="shared" si="3"/>
        <v>2445000</v>
      </c>
      <c r="L89" s="20"/>
      <c r="M89" s="19"/>
      <c r="N89" s="19"/>
    </row>
    <row r="90" spans="1:14" s="159" customFormat="1" ht="65.25" customHeight="1">
      <c r="A90" s="30"/>
      <c r="B90" s="30"/>
      <c r="C90" s="167" t="s">
        <v>170</v>
      </c>
      <c r="D90" s="166" t="s">
        <v>169</v>
      </c>
      <c r="E90" s="165" t="s">
        <v>168</v>
      </c>
      <c r="F90" s="164">
        <v>1</v>
      </c>
      <c r="G90" s="163">
        <f>J89</f>
        <v>2445000</v>
      </c>
      <c r="H90" s="162">
        <v>0.3</v>
      </c>
      <c r="I90" s="161">
        <v>1</v>
      </c>
      <c r="J90" s="160">
        <f t="shared" si="4"/>
        <v>734000</v>
      </c>
      <c r="K90" s="33">
        <f t="shared" si="3"/>
        <v>734000</v>
      </c>
    </row>
    <row r="91" spans="1:14" s="42" customFormat="1" ht="47.25">
      <c r="A91" s="30"/>
      <c r="B91" s="30"/>
      <c r="C91" s="49" t="s">
        <v>240</v>
      </c>
      <c r="D91" s="81" t="s">
        <v>207</v>
      </c>
      <c r="E91" s="81" t="s">
        <v>4</v>
      </c>
      <c r="F91" s="80">
        <v>8</v>
      </c>
      <c r="G91" s="82">
        <v>13630</v>
      </c>
      <c r="H91" s="78">
        <v>1</v>
      </c>
      <c r="I91" s="77">
        <v>1</v>
      </c>
      <c r="J91" s="76">
        <f t="shared" si="4"/>
        <v>109000</v>
      </c>
      <c r="K91" s="33">
        <f t="shared" si="3"/>
        <v>109000</v>
      </c>
      <c r="L91" s="20"/>
      <c r="M91" s="19"/>
      <c r="N91" s="19"/>
    </row>
    <row r="92" spans="1:14" s="42" customFormat="1" ht="47.25">
      <c r="A92" s="30"/>
      <c r="B92" s="30"/>
      <c r="C92" s="49" t="s">
        <v>239</v>
      </c>
      <c r="D92" s="81" t="s">
        <v>207</v>
      </c>
      <c r="E92" s="81" t="s">
        <v>4</v>
      </c>
      <c r="F92" s="80">
        <v>6</v>
      </c>
      <c r="G92" s="82">
        <v>28120</v>
      </c>
      <c r="H92" s="78">
        <v>1</v>
      </c>
      <c r="I92" s="77">
        <v>1</v>
      </c>
      <c r="J92" s="76">
        <f t="shared" si="4"/>
        <v>169000</v>
      </c>
      <c r="K92" s="33">
        <f t="shared" si="3"/>
        <v>169000</v>
      </c>
      <c r="L92" s="20"/>
      <c r="M92" s="19"/>
      <c r="N92" s="19"/>
    </row>
    <row r="93" spans="1:14" s="42" customFormat="1" ht="47.25">
      <c r="A93" s="30"/>
      <c r="B93" s="30"/>
      <c r="C93" s="49" t="s">
        <v>238</v>
      </c>
      <c r="D93" s="81" t="s">
        <v>207</v>
      </c>
      <c r="E93" s="81" t="s">
        <v>4</v>
      </c>
      <c r="F93" s="80">
        <v>17</v>
      </c>
      <c r="G93" s="82">
        <v>28120</v>
      </c>
      <c r="H93" s="78">
        <v>1</v>
      </c>
      <c r="I93" s="77">
        <v>1</v>
      </c>
      <c r="J93" s="76">
        <f t="shared" si="4"/>
        <v>478000</v>
      </c>
      <c r="K93" s="33">
        <f t="shared" si="3"/>
        <v>478000</v>
      </c>
      <c r="L93" s="20"/>
      <c r="M93" s="19"/>
      <c r="N93" s="19"/>
    </row>
    <row r="94" spans="1:14" s="42" customFormat="1" ht="47.25">
      <c r="A94" s="30"/>
      <c r="B94" s="30"/>
      <c r="C94" s="49" t="s">
        <v>237</v>
      </c>
      <c r="D94" s="81" t="s">
        <v>204</v>
      </c>
      <c r="E94" s="81" t="s">
        <v>4</v>
      </c>
      <c r="F94" s="80">
        <v>2</v>
      </c>
      <c r="G94" s="79">
        <v>16590</v>
      </c>
      <c r="H94" s="78">
        <v>1</v>
      </c>
      <c r="I94" s="77">
        <v>1</v>
      </c>
      <c r="J94" s="76">
        <f t="shared" si="4"/>
        <v>33000</v>
      </c>
      <c r="K94" s="33">
        <f t="shared" si="3"/>
        <v>33000</v>
      </c>
      <c r="L94" s="20"/>
      <c r="M94" s="19"/>
      <c r="N94" s="19"/>
    </row>
    <row r="95" spans="1:14" s="42" customFormat="1" ht="47.25">
      <c r="A95" s="30"/>
      <c r="B95" s="30"/>
      <c r="C95" s="49" t="s">
        <v>236</v>
      </c>
      <c r="D95" s="81" t="s">
        <v>235</v>
      </c>
      <c r="E95" s="81" t="s">
        <v>4</v>
      </c>
      <c r="F95" s="80">
        <v>3</v>
      </c>
      <c r="G95" s="82">
        <v>13630</v>
      </c>
      <c r="H95" s="78">
        <v>1</v>
      </c>
      <c r="I95" s="77">
        <v>1</v>
      </c>
      <c r="J95" s="76">
        <f t="shared" si="4"/>
        <v>41000</v>
      </c>
      <c r="K95" s="33">
        <f t="shared" si="3"/>
        <v>41000</v>
      </c>
      <c r="L95" s="20"/>
      <c r="M95" s="19"/>
      <c r="N95" s="19"/>
    </row>
    <row r="96" spans="1:14" s="42" customFormat="1" ht="31.5">
      <c r="A96" s="30"/>
      <c r="B96" s="30"/>
      <c r="C96" s="49" t="s">
        <v>234</v>
      </c>
      <c r="D96" s="81" t="s">
        <v>5</v>
      </c>
      <c r="E96" s="81" t="s">
        <v>4</v>
      </c>
      <c r="F96" s="26">
        <v>325</v>
      </c>
      <c r="G96" s="82">
        <v>26730</v>
      </c>
      <c r="H96" s="78">
        <v>1</v>
      </c>
      <c r="I96" s="77">
        <v>1</v>
      </c>
      <c r="J96" s="76">
        <f t="shared" si="4"/>
        <v>8687000</v>
      </c>
      <c r="K96" s="33">
        <f t="shared" si="3"/>
        <v>8687000</v>
      </c>
      <c r="L96" s="20"/>
      <c r="M96" s="19"/>
      <c r="N96" s="19"/>
    </row>
    <row r="97" spans="1:14" s="42" customFormat="1" ht="40.5" customHeight="1">
      <c r="A97" s="30">
        <v>6</v>
      </c>
      <c r="B97" s="30">
        <v>48</v>
      </c>
      <c r="C97" s="283" t="s">
        <v>233</v>
      </c>
      <c r="D97" s="283"/>
      <c r="E97" s="283"/>
      <c r="F97" s="283"/>
      <c r="G97" s="283"/>
      <c r="H97" s="283"/>
      <c r="I97" s="30"/>
      <c r="J97" s="75">
        <f>SUM(J99:J117)</f>
        <v>21009000</v>
      </c>
      <c r="K97" s="33">
        <f t="shared" si="3"/>
        <v>0</v>
      </c>
      <c r="L97" s="20"/>
      <c r="M97" s="19"/>
      <c r="N97" s="19"/>
    </row>
    <row r="98" spans="1:14" s="53" customFormat="1" ht="73.5" customHeight="1">
      <c r="A98" s="62"/>
      <c r="B98" s="61"/>
      <c r="C98" s="198" t="s">
        <v>200</v>
      </c>
      <c r="D98" s="197"/>
      <c r="E98" s="196"/>
      <c r="F98" s="195"/>
      <c r="G98" s="194"/>
      <c r="H98" s="193"/>
      <c r="I98" s="192"/>
      <c r="J98" s="191">
        <f>ROUND(F98*G98*H98*I98,-3)</f>
        <v>0</v>
      </c>
      <c r="K98" s="33">
        <f t="shared" si="3"/>
        <v>0</v>
      </c>
    </row>
    <row r="99" spans="1:14" s="42" customFormat="1" ht="63">
      <c r="A99" s="30"/>
      <c r="B99" s="30"/>
      <c r="C99" s="49" t="s">
        <v>232</v>
      </c>
      <c r="D99" s="28" t="s">
        <v>43</v>
      </c>
      <c r="E99" s="27" t="s">
        <v>2</v>
      </c>
      <c r="F99" s="26">
        <f>0.25*0.25*2.5* 4 +0.25*0.25*2.5*2</f>
        <v>0.9375</v>
      </c>
      <c r="G99" s="25">
        <v>2828000</v>
      </c>
      <c r="H99" s="85">
        <v>0.4</v>
      </c>
      <c r="I99" s="84">
        <v>1</v>
      </c>
      <c r="J99" s="22">
        <f>ROUND(F99*G99*H99*I99,-3)</f>
        <v>1061000</v>
      </c>
      <c r="K99" s="33">
        <f t="shared" si="3"/>
        <v>1061000</v>
      </c>
      <c r="L99" s="20"/>
      <c r="M99" s="19"/>
      <c r="N99" s="19"/>
    </row>
    <row r="100" spans="1:14" s="159" customFormat="1" ht="65.25" customHeight="1">
      <c r="A100" s="30"/>
      <c r="B100" s="30"/>
      <c r="C100" s="167" t="s">
        <v>170</v>
      </c>
      <c r="D100" s="166" t="s">
        <v>169</v>
      </c>
      <c r="E100" s="165" t="s">
        <v>168</v>
      </c>
      <c r="F100" s="164">
        <v>1</v>
      </c>
      <c r="G100" s="163">
        <f>J99</f>
        <v>1061000</v>
      </c>
      <c r="H100" s="162">
        <v>0.3</v>
      </c>
      <c r="I100" s="161">
        <v>1</v>
      </c>
      <c r="J100" s="160">
        <f>ROUND(F100*G100*H100*I100,-3)</f>
        <v>318000</v>
      </c>
      <c r="K100" s="33">
        <f t="shared" si="3"/>
        <v>318000</v>
      </c>
    </row>
    <row r="101" spans="1:14" s="42" customFormat="1" ht="47.25">
      <c r="A101" s="30"/>
      <c r="B101" s="30"/>
      <c r="C101" s="49" t="s">
        <v>231</v>
      </c>
      <c r="D101" s="28" t="s">
        <v>123</v>
      </c>
      <c r="E101" s="27" t="s">
        <v>25</v>
      </c>
      <c r="F101" s="26">
        <f>(3.3+3)*0.9+1.6*4.6</f>
        <v>13.03</v>
      </c>
      <c r="G101" s="25">
        <v>679000</v>
      </c>
      <c r="H101" s="24">
        <v>0.4</v>
      </c>
      <c r="I101" s="44">
        <v>1</v>
      </c>
      <c r="J101" s="201">
        <f>ROUND(F101*G101*H101*I101,-3)</f>
        <v>3539000</v>
      </c>
      <c r="K101" s="33">
        <f t="shared" si="3"/>
        <v>3539000</v>
      </c>
      <c r="L101" s="20"/>
      <c r="M101" s="19"/>
      <c r="N101" s="19"/>
    </row>
    <row r="102" spans="1:14" s="159" customFormat="1" ht="65.25" customHeight="1">
      <c r="A102" s="30"/>
      <c r="B102" s="30"/>
      <c r="C102" s="167" t="s">
        <v>170</v>
      </c>
      <c r="D102" s="166" t="s">
        <v>169</v>
      </c>
      <c r="E102" s="165" t="s">
        <v>168</v>
      </c>
      <c r="F102" s="164">
        <v>1</v>
      </c>
      <c r="G102" s="163">
        <f>J101</f>
        <v>3539000</v>
      </c>
      <c r="H102" s="162">
        <v>0.3</v>
      </c>
      <c r="I102" s="161">
        <v>1</v>
      </c>
      <c r="J102" s="160">
        <f>ROUND(F102*G102*H102*I102,-3)</f>
        <v>1062000</v>
      </c>
      <c r="K102" s="33">
        <f t="shared" si="3"/>
        <v>1062000</v>
      </c>
    </row>
    <row r="103" spans="1:14" s="42" customFormat="1" ht="47.25">
      <c r="A103" s="30"/>
      <c r="B103" s="30"/>
      <c r="C103" s="49" t="s">
        <v>230</v>
      </c>
      <c r="D103" s="48" t="s">
        <v>8</v>
      </c>
      <c r="E103" s="47" t="s">
        <v>7</v>
      </c>
      <c r="F103" s="26">
        <f>7.2*1.6+10.2*1.2+13.6*1.2</f>
        <v>40.08</v>
      </c>
      <c r="G103" s="46">
        <v>11000</v>
      </c>
      <c r="H103" s="45">
        <v>0.4</v>
      </c>
      <c r="I103" s="84">
        <v>1</v>
      </c>
      <c r="J103" s="43">
        <f>ROUND((F103*G103*H103*I103),-3)</f>
        <v>176000</v>
      </c>
      <c r="K103" s="33">
        <f t="shared" si="3"/>
        <v>176000</v>
      </c>
      <c r="L103" s="20"/>
      <c r="M103" s="19"/>
      <c r="N103" s="19"/>
    </row>
    <row r="104" spans="1:14" s="159" customFormat="1" ht="65.25" customHeight="1">
      <c r="A104" s="30"/>
      <c r="B104" s="30"/>
      <c r="C104" s="167" t="s">
        <v>170</v>
      </c>
      <c r="D104" s="166" t="s">
        <v>169</v>
      </c>
      <c r="E104" s="165" t="s">
        <v>168</v>
      </c>
      <c r="F104" s="164">
        <v>1</v>
      </c>
      <c r="G104" s="163">
        <f>J103</f>
        <v>176000</v>
      </c>
      <c r="H104" s="162">
        <v>0.3</v>
      </c>
      <c r="I104" s="161">
        <v>1</v>
      </c>
      <c r="J104" s="160">
        <f t="shared" ref="J104:J111" si="5">ROUND(F104*G104*H104*I104,-3)</f>
        <v>53000</v>
      </c>
      <c r="K104" s="33">
        <f t="shared" si="3"/>
        <v>53000</v>
      </c>
    </row>
    <row r="105" spans="1:14" s="42" customFormat="1" ht="31.5">
      <c r="A105" s="30"/>
      <c r="B105" s="30"/>
      <c r="C105" s="49" t="s">
        <v>229</v>
      </c>
      <c r="D105" s="81" t="s">
        <v>5</v>
      </c>
      <c r="E105" s="81" t="s">
        <v>4</v>
      </c>
      <c r="F105" s="26">
        <v>102</v>
      </c>
      <c r="G105" s="82">
        <v>26730</v>
      </c>
      <c r="H105" s="78">
        <v>1</v>
      </c>
      <c r="I105" s="77">
        <v>1</v>
      </c>
      <c r="J105" s="76">
        <f t="shared" si="5"/>
        <v>2726000</v>
      </c>
      <c r="K105" s="33">
        <f t="shared" si="3"/>
        <v>2726000</v>
      </c>
      <c r="L105" s="20"/>
      <c r="M105" s="19"/>
      <c r="N105" s="19"/>
    </row>
    <row r="106" spans="1:14" s="42" customFormat="1" ht="31.5">
      <c r="A106" s="30"/>
      <c r="B106" s="30"/>
      <c r="C106" s="49" t="s">
        <v>228</v>
      </c>
      <c r="D106" s="81" t="s">
        <v>61</v>
      </c>
      <c r="E106" s="81" t="s">
        <v>4</v>
      </c>
      <c r="F106" s="80">
        <v>2</v>
      </c>
      <c r="G106" s="82">
        <v>53260</v>
      </c>
      <c r="H106" s="78">
        <v>1</v>
      </c>
      <c r="I106" s="77">
        <v>1</v>
      </c>
      <c r="J106" s="76">
        <f t="shared" si="5"/>
        <v>107000</v>
      </c>
      <c r="K106" s="33">
        <f t="shared" si="3"/>
        <v>107000</v>
      </c>
      <c r="L106" s="20"/>
      <c r="M106" s="19"/>
      <c r="N106" s="19"/>
    </row>
    <row r="107" spans="1:14" s="42" customFormat="1" ht="31.5">
      <c r="A107" s="30"/>
      <c r="B107" s="30"/>
      <c r="C107" s="49" t="s">
        <v>227</v>
      </c>
      <c r="D107" s="81" t="s">
        <v>30</v>
      </c>
      <c r="E107" s="83" t="s">
        <v>4</v>
      </c>
      <c r="F107" s="26">
        <v>1</v>
      </c>
      <c r="G107" s="82">
        <v>165090</v>
      </c>
      <c r="H107" s="78">
        <v>1</v>
      </c>
      <c r="I107" s="83">
        <v>1</v>
      </c>
      <c r="J107" s="76">
        <f t="shared" si="5"/>
        <v>165000</v>
      </c>
      <c r="K107" s="33">
        <f t="shared" si="3"/>
        <v>165000</v>
      </c>
      <c r="L107" s="20"/>
      <c r="M107" s="19"/>
      <c r="N107" s="19"/>
    </row>
    <row r="108" spans="1:14" s="42" customFormat="1" ht="31.5">
      <c r="A108" s="30"/>
      <c r="B108" s="30"/>
      <c r="C108" s="49" t="s">
        <v>226</v>
      </c>
      <c r="D108" s="81" t="s">
        <v>225</v>
      </c>
      <c r="E108" s="81" t="s">
        <v>4</v>
      </c>
      <c r="F108" s="80">
        <v>2</v>
      </c>
      <c r="G108" s="82">
        <v>10650</v>
      </c>
      <c r="H108" s="78">
        <v>1</v>
      </c>
      <c r="I108" s="77">
        <v>1</v>
      </c>
      <c r="J108" s="76">
        <f t="shared" si="5"/>
        <v>21000</v>
      </c>
      <c r="K108" s="33">
        <f t="shared" si="3"/>
        <v>21000</v>
      </c>
      <c r="L108" s="20"/>
      <c r="M108" s="19"/>
      <c r="N108" s="19"/>
    </row>
    <row r="109" spans="1:14" s="42" customFormat="1" ht="31.5">
      <c r="A109" s="30"/>
      <c r="B109" s="30"/>
      <c r="C109" s="49" t="s">
        <v>224</v>
      </c>
      <c r="D109" s="81" t="s">
        <v>223</v>
      </c>
      <c r="E109" s="81" t="s">
        <v>25</v>
      </c>
      <c r="F109" s="80">
        <v>3</v>
      </c>
      <c r="G109" s="79">
        <v>3510</v>
      </c>
      <c r="H109" s="78">
        <v>1</v>
      </c>
      <c r="I109" s="77">
        <v>1</v>
      </c>
      <c r="J109" s="76">
        <f t="shared" si="5"/>
        <v>11000</v>
      </c>
      <c r="K109" s="33">
        <f t="shared" si="3"/>
        <v>11000</v>
      </c>
      <c r="L109" s="20"/>
      <c r="M109" s="19"/>
      <c r="N109" s="19"/>
    </row>
    <row r="110" spans="1:14" s="42" customFormat="1" ht="63">
      <c r="A110" s="30"/>
      <c r="B110" s="30"/>
      <c r="C110" s="49" t="s">
        <v>222</v>
      </c>
      <c r="D110" s="28" t="s">
        <v>43</v>
      </c>
      <c r="E110" s="27" t="s">
        <v>2</v>
      </c>
      <c r="F110" s="50">
        <f>0.2*0.05*0.6</f>
        <v>6.000000000000001E-3</v>
      </c>
      <c r="G110" s="25">
        <v>2828000</v>
      </c>
      <c r="H110" s="24">
        <v>0.4</v>
      </c>
      <c r="I110" s="44">
        <v>1</v>
      </c>
      <c r="J110" s="22">
        <f t="shared" si="5"/>
        <v>7000</v>
      </c>
      <c r="K110" s="33">
        <f t="shared" si="3"/>
        <v>7000</v>
      </c>
      <c r="L110" s="20"/>
      <c r="M110" s="19"/>
      <c r="N110" s="19"/>
    </row>
    <row r="111" spans="1:14" s="159" customFormat="1" ht="65.25" customHeight="1">
      <c r="A111" s="30"/>
      <c r="B111" s="30"/>
      <c r="C111" s="167" t="s">
        <v>170</v>
      </c>
      <c r="D111" s="166" t="s">
        <v>169</v>
      </c>
      <c r="E111" s="165" t="s">
        <v>168</v>
      </c>
      <c r="F111" s="164">
        <v>1</v>
      </c>
      <c r="G111" s="163">
        <f>J110</f>
        <v>7000</v>
      </c>
      <c r="H111" s="162">
        <v>0.3</v>
      </c>
      <c r="I111" s="161">
        <v>1</v>
      </c>
      <c r="J111" s="160">
        <f t="shared" si="5"/>
        <v>2000</v>
      </c>
      <c r="K111" s="33">
        <f t="shared" si="3"/>
        <v>2000</v>
      </c>
    </row>
    <row r="112" spans="1:14" s="42" customFormat="1" ht="38.25" customHeight="1">
      <c r="A112" s="30"/>
      <c r="B112" s="30"/>
      <c r="C112" s="49" t="s">
        <v>221</v>
      </c>
      <c r="D112" s="295" t="s">
        <v>220</v>
      </c>
      <c r="E112" s="296"/>
      <c r="F112" s="296"/>
      <c r="G112" s="296"/>
      <c r="H112" s="296"/>
      <c r="I112" s="296"/>
      <c r="J112" s="200"/>
      <c r="K112" s="33">
        <f t="shared" si="3"/>
        <v>0</v>
      </c>
      <c r="L112" s="20"/>
      <c r="M112" s="19"/>
      <c r="N112" s="19"/>
    </row>
    <row r="113" spans="1:14" s="42" customFormat="1" ht="47.25">
      <c r="A113" s="30"/>
      <c r="B113" s="30"/>
      <c r="C113" s="49" t="s">
        <v>219</v>
      </c>
      <c r="D113" s="28" t="s">
        <v>45</v>
      </c>
      <c r="E113" s="27" t="s">
        <v>25</v>
      </c>
      <c r="F113" s="26">
        <f>13.6*1.6</f>
        <v>21.76</v>
      </c>
      <c r="G113" s="25">
        <v>792000</v>
      </c>
      <c r="H113" s="86">
        <v>0.4</v>
      </c>
      <c r="I113" s="44">
        <v>1</v>
      </c>
      <c r="J113" s="22">
        <f>ROUND(F113*G113*H113*I113,-3)</f>
        <v>6894000</v>
      </c>
      <c r="K113" s="33">
        <f t="shared" si="3"/>
        <v>6894000</v>
      </c>
      <c r="L113" s="20"/>
      <c r="M113" s="19"/>
      <c r="N113" s="19"/>
    </row>
    <row r="114" spans="1:14" s="159" customFormat="1" ht="65.25" customHeight="1">
      <c r="A114" s="30"/>
      <c r="B114" s="30"/>
      <c r="C114" s="167" t="s">
        <v>170</v>
      </c>
      <c r="D114" s="166" t="s">
        <v>169</v>
      </c>
      <c r="E114" s="165" t="s">
        <v>168</v>
      </c>
      <c r="F114" s="164">
        <v>1</v>
      </c>
      <c r="G114" s="163">
        <f>J113</f>
        <v>6894000</v>
      </c>
      <c r="H114" s="162">
        <v>0.3</v>
      </c>
      <c r="I114" s="161">
        <v>1</v>
      </c>
      <c r="J114" s="160">
        <f>ROUND(F114*G114*H114*I114,-3)</f>
        <v>2068000</v>
      </c>
      <c r="K114" s="33">
        <f t="shared" si="3"/>
        <v>2068000</v>
      </c>
    </row>
    <row r="115" spans="1:14" s="42" customFormat="1" ht="63">
      <c r="A115" s="30"/>
      <c r="B115" s="30"/>
      <c r="C115" s="49" t="s">
        <v>218</v>
      </c>
      <c r="D115" s="28" t="s">
        <v>43</v>
      </c>
      <c r="E115" s="27" t="s">
        <v>2</v>
      </c>
      <c r="F115" s="26">
        <f>0.35*0.35*1.8*8</f>
        <v>1.7639999999999998</v>
      </c>
      <c r="G115" s="25">
        <v>2828000</v>
      </c>
      <c r="H115" s="85">
        <v>0.4</v>
      </c>
      <c r="I115" s="84">
        <v>1</v>
      </c>
      <c r="J115" s="22">
        <f>ROUND(F115*G115*H115*I115,-3)</f>
        <v>1995000</v>
      </c>
      <c r="K115" s="33">
        <f t="shared" si="3"/>
        <v>1995000</v>
      </c>
      <c r="L115" s="20"/>
      <c r="M115" s="19"/>
      <c r="N115" s="19"/>
    </row>
    <row r="116" spans="1:14" s="159" customFormat="1" ht="65.25" customHeight="1">
      <c r="A116" s="30"/>
      <c r="B116" s="30"/>
      <c r="C116" s="167" t="s">
        <v>170</v>
      </c>
      <c r="D116" s="166" t="s">
        <v>169</v>
      </c>
      <c r="E116" s="165" t="s">
        <v>168</v>
      </c>
      <c r="F116" s="164">
        <v>1</v>
      </c>
      <c r="G116" s="163">
        <f>J115</f>
        <v>1995000</v>
      </c>
      <c r="H116" s="162">
        <v>0.3</v>
      </c>
      <c r="I116" s="161">
        <v>1</v>
      </c>
      <c r="J116" s="160">
        <f>ROUND(F116*G116*H116*I116,-3)</f>
        <v>599000</v>
      </c>
      <c r="K116" s="33">
        <f t="shared" si="3"/>
        <v>599000</v>
      </c>
    </row>
    <row r="117" spans="1:14" s="42" customFormat="1" ht="31.5">
      <c r="A117" s="30"/>
      <c r="B117" s="30"/>
      <c r="C117" s="49" t="s">
        <v>217</v>
      </c>
      <c r="D117" s="81" t="s">
        <v>32</v>
      </c>
      <c r="E117" s="81" t="s">
        <v>4</v>
      </c>
      <c r="F117" s="26">
        <v>5</v>
      </c>
      <c r="G117" s="82">
        <v>41010</v>
      </c>
      <c r="H117" s="78">
        <v>1</v>
      </c>
      <c r="I117" s="83">
        <v>1</v>
      </c>
      <c r="J117" s="43">
        <f>ROUND(F117*G117*H117*I117,-3)</f>
        <v>205000</v>
      </c>
      <c r="K117" s="33">
        <f t="shared" si="3"/>
        <v>205000</v>
      </c>
      <c r="L117" s="20"/>
      <c r="M117" s="19"/>
      <c r="N117" s="19"/>
    </row>
    <row r="118" spans="1:14" s="42" customFormat="1" ht="40.5" customHeight="1">
      <c r="A118" s="30">
        <v>7</v>
      </c>
      <c r="B118" s="30">
        <v>121</v>
      </c>
      <c r="C118" s="283" t="s">
        <v>216</v>
      </c>
      <c r="D118" s="283"/>
      <c r="E118" s="283"/>
      <c r="F118" s="283"/>
      <c r="G118" s="283"/>
      <c r="H118" s="283"/>
      <c r="I118" s="30"/>
      <c r="J118" s="75">
        <f>SUM(J120:J130)</f>
        <v>10101000</v>
      </c>
      <c r="K118" s="33">
        <f t="shared" si="3"/>
        <v>0</v>
      </c>
      <c r="L118" s="20"/>
      <c r="M118" s="19"/>
      <c r="N118" s="19"/>
    </row>
    <row r="119" spans="1:14" s="53" customFormat="1" ht="73.5" customHeight="1">
      <c r="A119" s="62"/>
      <c r="B119" s="61"/>
      <c r="C119" s="198" t="s">
        <v>200</v>
      </c>
      <c r="D119" s="197"/>
      <c r="E119" s="196"/>
      <c r="F119" s="195"/>
      <c r="G119" s="194"/>
      <c r="H119" s="193"/>
      <c r="I119" s="192"/>
      <c r="J119" s="191">
        <f t="shared" ref="J119:J130" si="6">ROUND(F119*G119*H119*I119,-3)</f>
        <v>0</v>
      </c>
      <c r="K119" s="33">
        <f t="shared" si="3"/>
        <v>0</v>
      </c>
    </row>
    <row r="120" spans="1:14" s="42" customFormat="1" ht="63">
      <c r="A120" s="30"/>
      <c r="B120" s="30"/>
      <c r="C120" s="49" t="s">
        <v>215</v>
      </c>
      <c r="D120" s="28" t="s">
        <v>43</v>
      </c>
      <c r="E120" s="27" t="s">
        <v>2</v>
      </c>
      <c r="F120" s="50">
        <f>0.4*0.4*2*2 +0.4*0.4*1.3*2</f>
        <v>1.0560000000000003</v>
      </c>
      <c r="G120" s="25">
        <v>2828000</v>
      </c>
      <c r="H120" s="24">
        <v>0.8</v>
      </c>
      <c r="I120" s="44">
        <v>1</v>
      </c>
      <c r="J120" s="22">
        <f t="shared" si="6"/>
        <v>2389000</v>
      </c>
      <c r="K120" s="33">
        <f t="shared" si="3"/>
        <v>2389000</v>
      </c>
      <c r="L120" s="20"/>
      <c r="M120" s="19"/>
      <c r="N120" s="19"/>
    </row>
    <row r="121" spans="1:14" s="42" customFormat="1" ht="47.25">
      <c r="A121" s="30"/>
      <c r="B121" s="30"/>
      <c r="C121" s="49" t="s">
        <v>214</v>
      </c>
      <c r="D121" s="28" t="s">
        <v>45</v>
      </c>
      <c r="E121" s="27" t="s">
        <v>25</v>
      </c>
      <c r="F121" s="26">
        <f>5.2*0.05+3.2*0.6</f>
        <v>2.1799999999999997</v>
      </c>
      <c r="G121" s="25">
        <v>792000</v>
      </c>
      <c r="H121" s="86">
        <v>0.8</v>
      </c>
      <c r="I121" s="44">
        <v>1</v>
      </c>
      <c r="J121" s="22">
        <f t="shared" si="6"/>
        <v>1381000</v>
      </c>
      <c r="K121" s="33">
        <f t="shared" si="3"/>
        <v>1381000</v>
      </c>
      <c r="L121" s="20"/>
      <c r="M121" s="19"/>
      <c r="N121" s="19"/>
    </row>
    <row r="122" spans="1:14" s="42" customFormat="1" ht="47.25">
      <c r="A122" s="30"/>
      <c r="B122" s="30"/>
      <c r="C122" s="49" t="s">
        <v>213</v>
      </c>
      <c r="D122" s="94" t="s">
        <v>17</v>
      </c>
      <c r="E122" s="93" t="s">
        <v>25</v>
      </c>
      <c r="F122" s="92">
        <f>1.6*2+4.2*0.7</f>
        <v>6.1400000000000006</v>
      </c>
      <c r="G122" s="91">
        <v>215000</v>
      </c>
      <c r="H122" s="90">
        <v>0.8</v>
      </c>
      <c r="I122" s="89">
        <v>1</v>
      </c>
      <c r="J122" s="88">
        <f t="shared" si="6"/>
        <v>1056000</v>
      </c>
      <c r="K122" s="33">
        <f t="shared" si="3"/>
        <v>1056000</v>
      </c>
      <c r="L122" s="20"/>
      <c r="M122" s="19"/>
      <c r="N122" s="19"/>
    </row>
    <row r="123" spans="1:14" s="42" customFormat="1" ht="31.5">
      <c r="A123" s="30"/>
      <c r="B123" s="30"/>
      <c r="C123" s="49" t="s">
        <v>212</v>
      </c>
      <c r="D123" s="81" t="s">
        <v>211</v>
      </c>
      <c r="E123" s="81" t="s">
        <v>4</v>
      </c>
      <c r="F123" s="80">
        <v>1</v>
      </c>
      <c r="G123" s="79">
        <v>374920</v>
      </c>
      <c r="H123" s="78">
        <v>1</v>
      </c>
      <c r="I123" s="77">
        <v>1</v>
      </c>
      <c r="J123" s="76">
        <f t="shared" si="6"/>
        <v>375000</v>
      </c>
      <c r="K123" s="33">
        <f t="shared" si="3"/>
        <v>375000</v>
      </c>
      <c r="L123" s="20"/>
      <c r="M123" s="19"/>
      <c r="N123" s="19"/>
    </row>
    <row r="124" spans="1:14" s="42" customFormat="1" ht="31.5">
      <c r="A124" s="30"/>
      <c r="B124" s="30"/>
      <c r="C124" s="49" t="s">
        <v>210</v>
      </c>
      <c r="D124" s="81" t="s">
        <v>61</v>
      </c>
      <c r="E124" s="81" t="s">
        <v>4</v>
      </c>
      <c r="F124" s="80">
        <v>2</v>
      </c>
      <c r="G124" s="82">
        <v>1065100</v>
      </c>
      <c r="H124" s="78">
        <v>1</v>
      </c>
      <c r="I124" s="77">
        <v>1</v>
      </c>
      <c r="J124" s="76">
        <f t="shared" si="6"/>
        <v>2130000</v>
      </c>
      <c r="K124" s="33">
        <f t="shared" si="3"/>
        <v>2130000</v>
      </c>
      <c r="L124" s="20"/>
      <c r="M124" s="19"/>
      <c r="N124" s="19"/>
    </row>
    <row r="125" spans="1:14" s="42" customFormat="1" ht="31.5">
      <c r="A125" s="30"/>
      <c r="B125" s="30"/>
      <c r="C125" s="49" t="s">
        <v>209</v>
      </c>
      <c r="D125" s="81" t="s">
        <v>61</v>
      </c>
      <c r="E125" s="81" t="s">
        <v>4</v>
      </c>
      <c r="F125" s="80">
        <v>1</v>
      </c>
      <c r="G125" s="82">
        <v>1065100</v>
      </c>
      <c r="H125" s="78">
        <v>1</v>
      </c>
      <c r="I125" s="77">
        <v>1</v>
      </c>
      <c r="J125" s="76">
        <f t="shared" si="6"/>
        <v>1065000</v>
      </c>
      <c r="K125" s="33">
        <f t="shared" si="3"/>
        <v>1065000</v>
      </c>
      <c r="L125" s="20"/>
      <c r="M125" s="19"/>
      <c r="N125" s="19"/>
    </row>
    <row r="126" spans="1:14" s="42" customFormat="1" ht="47.25">
      <c r="A126" s="30"/>
      <c r="B126" s="30"/>
      <c r="C126" s="49" t="s">
        <v>208</v>
      </c>
      <c r="D126" s="81" t="s">
        <v>207</v>
      </c>
      <c r="E126" s="81" t="s">
        <v>4</v>
      </c>
      <c r="F126" s="80">
        <v>4</v>
      </c>
      <c r="G126" s="82">
        <v>13630</v>
      </c>
      <c r="H126" s="78">
        <v>1</v>
      </c>
      <c r="I126" s="77">
        <v>1</v>
      </c>
      <c r="J126" s="76">
        <f t="shared" si="6"/>
        <v>55000</v>
      </c>
      <c r="K126" s="33">
        <f t="shared" si="3"/>
        <v>55000</v>
      </c>
      <c r="L126" s="20"/>
      <c r="M126" s="19"/>
      <c r="N126" s="19"/>
    </row>
    <row r="127" spans="1:14" s="42" customFormat="1" ht="47.25">
      <c r="A127" s="30"/>
      <c r="B127" s="30"/>
      <c r="C127" s="49" t="s">
        <v>206</v>
      </c>
      <c r="D127" s="81" t="s">
        <v>204</v>
      </c>
      <c r="E127" s="81" t="s">
        <v>4</v>
      </c>
      <c r="F127" s="80">
        <v>19</v>
      </c>
      <c r="G127" s="79">
        <v>51450</v>
      </c>
      <c r="H127" s="78">
        <v>1</v>
      </c>
      <c r="I127" s="77">
        <v>1</v>
      </c>
      <c r="J127" s="76">
        <f t="shared" si="6"/>
        <v>978000</v>
      </c>
      <c r="K127" s="33">
        <f t="shared" si="3"/>
        <v>978000</v>
      </c>
      <c r="L127" s="20"/>
      <c r="M127" s="19"/>
      <c r="N127" s="19"/>
    </row>
    <row r="128" spans="1:14" s="42" customFormat="1" ht="47.25">
      <c r="A128" s="30"/>
      <c r="B128" s="30"/>
      <c r="C128" s="49" t="s">
        <v>205</v>
      </c>
      <c r="D128" s="81" t="s">
        <v>204</v>
      </c>
      <c r="E128" s="81" t="s">
        <v>4</v>
      </c>
      <c r="F128" s="80">
        <v>10</v>
      </c>
      <c r="G128" s="79">
        <v>16590</v>
      </c>
      <c r="H128" s="78">
        <v>1</v>
      </c>
      <c r="I128" s="77">
        <v>1</v>
      </c>
      <c r="J128" s="76">
        <f t="shared" si="6"/>
        <v>166000</v>
      </c>
      <c r="K128" s="33">
        <f t="shared" si="3"/>
        <v>166000</v>
      </c>
      <c r="L128" s="20"/>
      <c r="M128" s="19"/>
      <c r="N128" s="19"/>
    </row>
    <row r="129" spans="1:14" s="42" customFormat="1" ht="31.5">
      <c r="A129" s="30"/>
      <c r="B129" s="30"/>
      <c r="C129" s="49" t="s">
        <v>203</v>
      </c>
      <c r="D129" s="81" t="s">
        <v>5</v>
      </c>
      <c r="E129" s="81" t="s">
        <v>4</v>
      </c>
      <c r="F129" s="26">
        <v>15</v>
      </c>
      <c r="G129" s="82">
        <v>26730</v>
      </c>
      <c r="H129" s="78">
        <v>1</v>
      </c>
      <c r="I129" s="77">
        <v>1</v>
      </c>
      <c r="J129" s="76">
        <f t="shared" si="6"/>
        <v>401000</v>
      </c>
      <c r="K129" s="33">
        <f t="shared" si="3"/>
        <v>401000</v>
      </c>
      <c r="L129" s="20"/>
      <c r="M129" s="19"/>
      <c r="N129" s="19"/>
    </row>
    <row r="130" spans="1:14" s="42" customFormat="1" ht="31.5">
      <c r="A130" s="30"/>
      <c r="B130" s="30"/>
      <c r="C130" s="49" t="s">
        <v>202</v>
      </c>
      <c r="D130" s="81" t="s">
        <v>5</v>
      </c>
      <c r="E130" s="81" t="s">
        <v>4</v>
      </c>
      <c r="F130" s="26">
        <v>15</v>
      </c>
      <c r="G130" s="82">
        <v>7030</v>
      </c>
      <c r="H130" s="78">
        <v>1</v>
      </c>
      <c r="I130" s="77">
        <v>1</v>
      </c>
      <c r="J130" s="76">
        <f t="shared" si="6"/>
        <v>105000</v>
      </c>
      <c r="K130" s="33">
        <f t="shared" si="3"/>
        <v>105000</v>
      </c>
      <c r="L130" s="20"/>
      <c r="M130" s="19"/>
      <c r="N130" s="19"/>
    </row>
    <row r="131" spans="1:14" s="53" customFormat="1" ht="33.75" customHeight="1">
      <c r="A131" s="62">
        <v>8</v>
      </c>
      <c r="B131" s="41">
        <v>71</v>
      </c>
      <c r="C131" s="297" t="s">
        <v>201</v>
      </c>
      <c r="D131" s="297"/>
      <c r="E131" s="297"/>
      <c r="F131" s="297"/>
      <c r="G131" s="297"/>
      <c r="H131" s="297"/>
      <c r="I131" s="108"/>
      <c r="J131" s="199">
        <f>SUM(J133:J170)</f>
        <v>348453000</v>
      </c>
      <c r="K131" s="33">
        <f t="shared" si="3"/>
        <v>0</v>
      </c>
    </row>
    <row r="132" spans="1:14" s="53" customFormat="1" ht="73.5" customHeight="1">
      <c r="A132" s="62"/>
      <c r="B132" s="61"/>
      <c r="C132" s="198" t="s">
        <v>200</v>
      </c>
      <c r="D132" s="197"/>
      <c r="E132" s="196"/>
      <c r="F132" s="195"/>
      <c r="G132" s="194"/>
      <c r="H132" s="193"/>
      <c r="I132" s="192"/>
      <c r="J132" s="191">
        <f>ROUND(F132*G132*H132*I132,-3)</f>
        <v>0</v>
      </c>
      <c r="K132" s="33">
        <f t="shared" si="3"/>
        <v>0</v>
      </c>
    </row>
    <row r="133" spans="1:14" s="141" customFormat="1" ht="94.5">
      <c r="A133" s="182"/>
      <c r="B133" s="181"/>
      <c r="C133" s="155" t="s">
        <v>199</v>
      </c>
      <c r="D133" s="146" t="s">
        <v>195</v>
      </c>
      <c r="E133" s="138" t="s">
        <v>182</v>
      </c>
      <c r="F133" s="168">
        <f>6.1*8.2</f>
        <v>50.019999999999996</v>
      </c>
      <c r="G133" s="153">
        <v>3224000</v>
      </c>
      <c r="H133" s="143">
        <v>0.6</v>
      </c>
      <c r="I133" s="135">
        <v>1</v>
      </c>
      <c r="J133" s="142">
        <f>ROUND((F133*G133*H133*I133),-3)</f>
        <v>96759000</v>
      </c>
      <c r="K133" s="33">
        <f t="shared" si="3"/>
        <v>96759000</v>
      </c>
      <c r="L133" s="180"/>
    </row>
    <row r="134" spans="1:14" s="159" customFormat="1" ht="65.25" customHeight="1">
      <c r="A134" s="30"/>
      <c r="B134" s="30"/>
      <c r="C134" s="167" t="s">
        <v>170</v>
      </c>
      <c r="D134" s="166" t="s">
        <v>169</v>
      </c>
      <c r="E134" s="165" t="s">
        <v>168</v>
      </c>
      <c r="F134" s="164">
        <v>1</v>
      </c>
      <c r="G134" s="163">
        <f>J133</f>
        <v>96759000</v>
      </c>
      <c r="H134" s="162">
        <v>0.3</v>
      </c>
      <c r="I134" s="135">
        <v>1</v>
      </c>
      <c r="J134" s="160">
        <f>ROUND(F134*G134*H134*I134,-3)</f>
        <v>29028000</v>
      </c>
      <c r="K134" s="33">
        <f t="shared" ref="K134:K170" si="7">ROUND(F134*G134*H134*I134,-3)</f>
        <v>29028000</v>
      </c>
    </row>
    <row r="135" spans="1:14" s="141" customFormat="1" ht="33" customHeight="1">
      <c r="A135" s="190"/>
      <c r="B135" s="190"/>
      <c r="C135" s="155" t="s">
        <v>198</v>
      </c>
      <c r="D135" s="150" t="s">
        <v>197</v>
      </c>
      <c r="E135" s="138" t="s">
        <v>177</v>
      </c>
      <c r="F135" s="186">
        <f>8*6</f>
        <v>48</v>
      </c>
      <c r="G135" s="189">
        <v>385000</v>
      </c>
      <c r="H135" s="152">
        <v>0.6</v>
      </c>
      <c r="I135" s="135">
        <v>1</v>
      </c>
      <c r="J135" s="170">
        <f>ROUND(F135*G135*H135*I135,-3)</f>
        <v>11088000</v>
      </c>
      <c r="K135" s="33">
        <f t="shared" si="7"/>
        <v>11088000</v>
      </c>
    </row>
    <row r="136" spans="1:14" s="159" customFormat="1" ht="65.25" customHeight="1">
      <c r="A136" s="30"/>
      <c r="B136" s="30"/>
      <c r="C136" s="167" t="s">
        <v>170</v>
      </c>
      <c r="D136" s="166" t="s">
        <v>169</v>
      </c>
      <c r="E136" s="165" t="s">
        <v>168</v>
      </c>
      <c r="F136" s="164">
        <v>1</v>
      </c>
      <c r="G136" s="163">
        <f>J135</f>
        <v>11088000</v>
      </c>
      <c r="H136" s="162">
        <v>0.3</v>
      </c>
      <c r="I136" s="135">
        <v>1</v>
      </c>
      <c r="J136" s="160">
        <f>ROUND(F136*G136*H136*I136,-3)</f>
        <v>3326000</v>
      </c>
      <c r="K136" s="33">
        <f t="shared" si="7"/>
        <v>3326000</v>
      </c>
    </row>
    <row r="137" spans="1:14" s="141" customFormat="1" ht="126">
      <c r="A137" s="182"/>
      <c r="B137" s="181"/>
      <c r="C137" s="155" t="s">
        <v>196</v>
      </c>
      <c r="D137" s="146" t="s">
        <v>195</v>
      </c>
      <c r="E137" s="138" t="s">
        <v>182</v>
      </c>
      <c r="F137" s="168">
        <f>6.1*8.2</f>
        <v>50.019999999999996</v>
      </c>
      <c r="G137" s="153">
        <f>3224000-82000</f>
        <v>3142000</v>
      </c>
      <c r="H137" s="143">
        <v>0.4</v>
      </c>
      <c r="I137" s="135">
        <v>1</v>
      </c>
      <c r="J137" s="142">
        <f>ROUND((F137*G137*H137*I137),-3)</f>
        <v>62865000</v>
      </c>
      <c r="K137" s="33">
        <f t="shared" si="7"/>
        <v>62865000</v>
      </c>
      <c r="L137" s="180"/>
    </row>
    <row r="138" spans="1:14" s="159" customFormat="1" ht="65.25" customHeight="1">
      <c r="A138" s="30"/>
      <c r="B138" s="30"/>
      <c r="C138" s="167" t="s">
        <v>170</v>
      </c>
      <c r="D138" s="166" t="s">
        <v>169</v>
      </c>
      <c r="E138" s="165" t="s">
        <v>168</v>
      </c>
      <c r="F138" s="164">
        <v>1</v>
      </c>
      <c r="G138" s="163">
        <f>J137</f>
        <v>62865000</v>
      </c>
      <c r="H138" s="162">
        <v>0.3</v>
      </c>
      <c r="I138" s="135">
        <v>1</v>
      </c>
      <c r="J138" s="160">
        <f>ROUND(F138*G138*H138*I138,-3)</f>
        <v>18860000</v>
      </c>
      <c r="K138" s="33">
        <f t="shared" si="7"/>
        <v>18860000</v>
      </c>
    </row>
    <row r="139" spans="1:14" s="53" customFormat="1" ht="33.75">
      <c r="A139" s="108"/>
      <c r="B139" s="140"/>
      <c r="C139" s="60" t="s">
        <v>194</v>
      </c>
      <c r="D139" s="150" t="s">
        <v>172</v>
      </c>
      <c r="E139" s="169" t="s">
        <v>174</v>
      </c>
      <c r="F139" s="137">
        <f>14.3*0.6*0.2</f>
        <v>1.7160000000000002</v>
      </c>
      <c r="G139" s="144">
        <v>2828000</v>
      </c>
      <c r="H139" s="55">
        <v>0.4</v>
      </c>
      <c r="I139" s="135">
        <v>1</v>
      </c>
      <c r="J139" s="134">
        <f>ROUND((F139*G139*H139*I139),-3)</f>
        <v>1941000</v>
      </c>
      <c r="K139" s="33">
        <f t="shared" si="7"/>
        <v>1941000</v>
      </c>
    </row>
    <row r="140" spans="1:14" s="159" customFormat="1" ht="65.25" customHeight="1">
      <c r="A140" s="30"/>
      <c r="B140" s="30"/>
      <c r="C140" s="167" t="s">
        <v>170</v>
      </c>
      <c r="D140" s="166" t="s">
        <v>169</v>
      </c>
      <c r="E140" s="165" t="s">
        <v>168</v>
      </c>
      <c r="F140" s="164">
        <v>1</v>
      </c>
      <c r="G140" s="163">
        <f>J139</f>
        <v>1941000</v>
      </c>
      <c r="H140" s="162">
        <v>0.3</v>
      </c>
      <c r="I140" s="135">
        <v>1</v>
      </c>
      <c r="J140" s="160">
        <f>ROUND(F140*G140*H140*I140,-3)</f>
        <v>582000</v>
      </c>
      <c r="K140" s="33">
        <f t="shared" si="7"/>
        <v>582000</v>
      </c>
    </row>
    <row r="141" spans="1:14" s="53" customFormat="1" ht="31.5">
      <c r="A141" s="108"/>
      <c r="B141" s="140"/>
      <c r="C141" s="60" t="s">
        <v>193</v>
      </c>
      <c r="D141" s="139" t="s">
        <v>192</v>
      </c>
      <c r="E141" s="138" t="s">
        <v>182</v>
      </c>
      <c r="F141" s="137">
        <f>2.2*8.2</f>
        <v>18.04</v>
      </c>
      <c r="G141" s="136">
        <v>396000</v>
      </c>
      <c r="H141" s="55">
        <v>0.4</v>
      </c>
      <c r="I141" s="135">
        <v>1</v>
      </c>
      <c r="J141" s="134">
        <f>ROUND((F141*G141*H141*I141),-3)</f>
        <v>2858000</v>
      </c>
      <c r="K141" s="33">
        <f t="shared" si="7"/>
        <v>2858000</v>
      </c>
    </row>
    <row r="142" spans="1:14" s="159" customFormat="1" ht="65.25" customHeight="1">
      <c r="A142" s="30"/>
      <c r="B142" s="30"/>
      <c r="C142" s="167" t="s">
        <v>170</v>
      </c>
      <c r="D142" s="166" t="s">
        <v>169</v>
      </c>
      <c r="E142" s="165" t="s">
        <v>168</v>
      </c>
      <c r="F142" s="164">
        <v>1</v>
      </c>
      <c r="G142" s="163">
        <f>J141</f>
        <v>2858000</v>
      </c>
      <c r="H142" s="162">
        <v>0.3</v>
      </c>
      <c r="I142" s="135">
        <v>1</v>
      </c>
      <c r="J142" s="160">
        <f>ROUND(F142*G142*H142*I142,-3)</f>
        <v>857000</v>
      </c>
      <c r="K142" s="33">
        <f t="shared" si="7"/>
        <v>857000</v>
      </c>
    </row>
    <row r="143" spans="1:14" s="53" customFormat="1" ht="22.5">
      <c r="A143" s="188"/>
      <c r="B143" s="188"/>
      <c r="C143" s="155" t="s">
        <v>191</v>
      </c>
      <c r="D143" s="139" t="s">
        <v>190</v>
      </c>
      <c r="E143" s="187" t="s">
        <v>177</v>
      </c>
      <c r="F143" s="186">
        <f>5.8*5.6*2</f>
        <v>64.959999999999994</v>
      </c>
      <c r="G143" s="153">
        <v>236000</v>
      </c>
      <c r="H143" s="185">
        <v>0.4</v>
      </c>
      <c r="I143" s="135">
        <v>1</v>
      </c>
      <c r="J143" s="184">
        <f>ROUND(F143*G143*H143*I143,-3)</f>
        <v>6132000</v>
      </c>
      <c r="K143" s="33">
        <f t="shared" si="7"/>
        <v>6132000</v>
      </c>
    </row>
    <row r="144" spans="1:14" s="159" customFormat="1" ht="65.25" customHeight="1">
      <c r="A144" s="30"/>
      <c r="B144" s="30"/>
      <c r="C144" s="167" t="s">
        <v>170</v>
      </c>
      <c r="D144" s="166" t="s">
        <v>169</v>
      </c>
      <c r="E144" s="165" t="s">
        <v>168</v>
      </c>
      <c r="F144" s="164">
        <v>1</v>
      </c>
      <c r="G144" s="163">
        <f>J143</f>
        <v>6132000</v>
      </c>
      <c r="H144" s="162">
        <v>0.3</v>
      </c>
      <c r="I144" s="135">
        <v>1</v>
      </c>
      <c r="J144" s="160">
        <f>ROUND(F144*G144*H144*I144,-3)</f>
        <v>1840000</v>
      </c>
      <c r="K144" s="33">
        <f t="shared" si="7"/>
        <v>1840000</v>
      </c>
    </row>
    <row r="145" spans="1:12" s="141" customFormat="1" ht="27" customHeight="1">
      <c r="A145" s="172"/>
      <c r="B145" s="171"/>
      <c r="C145" s="147" t="s">
        <v>189</v>
      </c>
      <c r="D145" s="150" t="s">
        <v>188</v>
      </c>
      <c r="E145" s="183" t="s">
        <v>177</v>
      </c>
      <c r="F145" s="145">
        <f>5.8*5.8</f>
        <v>33.64</v>
      </c>
      <c r="G145" s="144">
        <v>213000</v>
      </c>
      <c r="H145" s="143">
        <v>0.4</v>
      </c>
      <c r="I145" s="135">
        <v>1</v>
      </c>
      <c r="J145" s="142">
        <f>ROUND((F145*G145*H145*I145),-3)</f>
        <v>2866000</v>
      </c>
      <c r="K145" s="33">
        <f t="shared" si="7"/>
        <v>2866000</v>
      </c>
    </row>
    <row r="146" spans="1:12" s="159" customFormat="1" ht="65.25" customHeight="1">
      <c r="A146" s="30"/>
      <c r="B146" s="30"/>
      <c r="C146" s="167" t="s">
        <v>170</v>
      </c>
      <c r="D146" s="166" t="s">
        <v>169</v>
      </c>
      <c r="E146" s="165" t="s">
        <v>168</v>
      </c>
      <c r="F146" s="164">
        <v>1</v>
      </c>
      <c r="G146" s="163">
        <f>J145</f>
        <v>2866000</v>
      </c>
      <c r="H146" s="162">
        <v>0.3</v>
      </c>
      <c r="I146" s="135">
        <v>1</v>
      </c>
      <c r="J146" s="160">
        <f>ROUND(F146*G146*H146*I146,-3)</f>
        <v>860000</v>
      </c>
      <c r="K146" s="33">
        <f t="shared" si="7"/>
        <v>860000</v>
      </c>
    </row>
    <row r="147" spans="1:12" s="141" customFormat="1" ht="63">
      <c r="A147" s="182"/>
      <c r="B147" s="181"/>
      <c r="C147" s="155" t="s">
        <v>187</v>
      </c>
      <c r="D147" s="146" t="s">
        <v>186</v>
      </c>
      <c r="E147" s="138" t="s">
        <v>182</v>
      </c>
      <c r="F147" s="168">
        <f>2.5*1.5</f>
        <v>3.75</v>
      </c>
      <c r="G147" s="153">
        <v>3370000</v>
      </c>
      <c r="H147" s="143">
        <v>0.4</v>
      </c>
      <c r="I147" s="135">
        <v>1</v>
      </c>
      <c r="J147" s="142">
        <f>ROUND((F147*G147*H147*I147),-3)</f>
        <v>5055000</v>
      </c>
      <c r="K147" s="33">
        <f t="shared" si="7"/>
        <v>5055000</v>
      </c>
      <c r="L147" s="180"/>
    </row>
    <row r="148" spans="1:12" s="159" customFormat="1" ht="65.25" customHeight="1">
      <c r="A148" s="30"/>
      <c r="B148" s="30"/>
      <c r="C148" s="167" t="s">
        <v>170</v>
      </c>
      <c r="D148" s="166" t="s">
        <v>169</v>
      </c>
      <c r="E148" s="165" t="s">
        <v>168</v>
      </c>
      <c r="F148" s="164">
        <v>1</v>
      </c>
      <c r="G148" s="163">
        <f>J147</f>
        <v>5055000</v>
      </c>
      <c r="H148" s="162">
        <v>0.3</v>
      </c>
      <c r="I148" s="135">
        <v>1</v>
      </c>
      <c r="J148" s="160">
        <f>ROUND(F148*G148*H148*I148,-3)</f>
        <v>1517000</v>
      </c>
      <c r="K148" s="33">
        <f t="shared" si="7"/>
        <v>1517000</v>
      </c>
    </row>
    <row r="149" spans="1:12" s="53" customFormat="1" ht="31.5">
      <c r="A149" s="108"/>
      <c r="B149" s="140"/>
      <c r="C149" s="60" t="s">
        <v>185</v>
      </c>
      <c r="D149" s="150" t="s">
        <v>184</v>
      </c>
      <c r="E149" s="169" t="s">
        <v>174</v>
      </c>
      <c r="F149" s="137">
        <f>4*3.5*6</f>
        <v>84</v>
      </c>
      <c r="G149" s="144">
        <v>801000</v>
      </c>
      <c r="H149" s="55">
        <v>0.4</v>
      </c>
      <c r="I149" s="135">
        <v>1</v>
      </c>
      <c r="J149" s="134">
        <f>ROUND((F149*G149*H149*I149),-3)</f>
        <v>26914000</v>
      </c>
      <c r="K149" s="33">
        <f t="shared" si="7"/>
        <v>26914000</v>
      </c>
    </row>
    <row r="150" spans="1:12" s="159" customFormat="1" ht="65.25" customHeight="1">
      <c r="A150" s="30"/>
      <c r="B150" s="30"/>
      <c r="C150" s="167" t="s">
        <v>170</v>
      </c>
      <c r="D150" s="166" t="s">
        <v>169</v>
      </c>
      <c r="E150" s="165" t="s">
        <v>168</v>
      </c>
      <c r="F150" s="164">
        <v>1</v>
      </c>
      <c r="G150" s="163">
        <f>J149</f>
        <v>26914000</v>
      </c>
      <c r="H150" s="162">
        <v>0.3</v>
      </c>
      <c r="I150" s="135">
        <v>1</v>
      </c>
      <c r="J150" s="160">
        <f>ROUND(F150*G150*H150*I150,-3)</f>
        <v>8074000</v>
      </c>
      <c r="K150" s="33">
        <f t="shared" si="7"/>
        <v>8074000</v>
      </c>
    </row>
    <row r="151" spans="1:12" s="53" customFormat="1" ht="33.75">
      <c r="A151" s="179"/>
      <c r="B151" s="178"/>
      <c r="C151" s="177" t="s">
        <v>183</v>
      </c>
      <c r="D151" s="59" t="s">
        <v>12</v>
      </c>
      <c r="E151" s="176" t="s">
        <v>182</v>
      </c>
      <c r="F151" s="175">
        <f>2*2+20.5*1.2</f>
        <v>28.599999999999998</v>
      </c>
      <c r="G151" s="136">
        <v>792000</v>
      </c>
      <c r="H151" s="174">
        <v>0.4</v>
      </c>
      <c r="I151" s="135">
        <v>1</v>
      </c>
      <c r="J151" s="134">
        <f>ROUND((F151*G151*H151*I151),-3)</f>
        <v>9060000</v>
      </c>
      <c r="K151" s="33">
        <f t="shared" si="7"/>
        <v>9060000</v>
      </c>
    </row>
    <row r="152" spans="1:12" s="159" customFormat="1" ht="65.25" customHeight="1">
      <c r="A152" s="30"/>
      <c r="B152" s="30"/>
      <c r="C152" s="167" t="s">
        <v>170</v>
      </c>
      <c r="D152" s="166" t="s">
        <v>169</v>
      </c>
      <c r="E152" s="165" t="s">
        <v>168</v>
      </c>
      <c r="F152" s="164">
        <v>1</v>
      </c>
      <c r="G152" s="163">
        <f>J151</f>
        <v>9060000</v>
      </c>
      <c r="H152" s="162">
        <v>0.3</v>
      </c>
      <c r="I152" s="135">
        <v>1</v>
      </c>
      <c r="J152" s="160">
        <f>ROUND(F152*G152*H152*I152,-3)</f>
        <v>2718000</v>
      </c>
      <c r="K152" s="33">
        <f t="shared" si="7"/>
        <v>2718000</v>
      </c>
    </row>
    <row r="153" spans="1:12" s="53" customFormat="1" ht="31.5" customHeight="1">
      <c r="A153" s="157"/>
      <c r="B153" s="156"/>
      <c r="C153" s="155" t="s">
        <v>181</v>
      </c>
      <c r="D153" s="158" t="s">
        <v>180</v>
      </c>
      <c r="E153" s="138" t="s">
        <v>177</v>
      </c>
      <c r="F153" s="173">
        <f>45.5*1.5</f>
        <v>68.25</v>
      </c>
      <c r="G153" s="136">
        <v>215000</v>
      </c>
      <c r="H153" s="152">
        <v>0.4</v>
      </c>
      <c r="I153" s="135">
        <v>1</v>
      </c>
      <c r="J153" s="142">
        <f>ROUND(F153*G153*H153*I153,-3)</f>
        <v>5870000</v>
      </c>
      <c r="K153" s="33">
        <f t="shared" si="7"/>
        <v>5870000</v>
      </c>
    </row>
    <row r="154" spans="1:12" s="159" customFormat="1" ht="65.25" customHeight="1">
      <c r="A154" s="30"/>
      <c r="B154" s="30"/>
      <c r="C154" s="167" t="s">
        <v>170</v>
      </c>
      <c r="D154" s="166" t="s">
        <v>169</v>
      </c>
      <c r="E154" s="165" t="s">
        <v>168</v>
      </c>
      <c r="F154" s="164">
        <v>1</v>
      </c>
      <c r="G154" s="163">
        <f>J153</f>
        <v>5870000</v>
      </c>
      <c r="H154" s="162">
        <v>0.3</v>
      </c>
      <c r="I154" s="135">
        <v>1</v>
      </c>
      <c r="J154" s="160">
        <f>ROUND(F154*G154*H154*I154,-3)</f>
        <v>1761000</v>
      </c>
      <c r="K154" s="33">
        <f t="shared" si="7"/>
        <v>1761000</v>
      </c>
    </row>
    <row r="155" spans="1:12" s="141" customFormat="1" ht="33.75">
      <c r="A155" s="172"/>
      <c r="B155" s="171"/>
      <c r="C155" s="147" t="s">
        <v>179</v>
      </c>
      <c r="D155" s="150" t="s">
        <v>178</v>
      </c>
      <c r="E155" s="138" t="s">
        <v>177</v>
      </c>
      <c r="F155" s="145">
        <f>40*1</f>
        <v>40</v>
      </c>
      <c r="G155" s="144">
        <v>453000</v>
      </c>
      <c r="H155" s="143">
        <v>0.4</v>
      </c>
      <c r="I155" s="135">
        <v>1</v>
      </c>
      <c r="J155" s="170">
        <f>ROUND(F155*G155*H155*I155,-3)</f>
        <v>7248000</v>
      </c>
      <c r="K155" s="33">
        <f t="shared" si="7"/>
        <v>7248000</v>
      </c>
    </row>
    <row r="156" spans="1:12" s="159" customFormat="1" ht="65.25" customHeight="1">
      <c r="A156" s="30"/>
      <c r="B156" s="30"/>
      <c r="C156" s="167" t="s">
        <v>170</v>
      </c>
      <c r="D156" s="166" t="s">
        <v>169</v>
      </c>
      <c r="E156" s="165" t="s">
        <v>168</v>
      </c>
      <c r="F156" s="164">
        <v>1</v>
      </c>
      <c r="G156" s="163">
        <f>J155</f>
        <v>7248000</v>
      </c>
      <c r="H156" s="162">
        <v>0.3</v>
      </c>
      <c r="I156" s="135">
        <v>1</v>
      </c>
      <c r="J156" s="160">
        <f>ROUND(F156*G156*H156*I156,-3)</f>
        <v>2174000</v>
      </c>
      <c r="K156" s="33">
        <f t="shared" si="7"/>
        <v>2174000</v>
      </c>
    </row>
    <row r="157" spans="1:12" s="53" customFormat="1" ht="31.5">
      <c r="A157" s="108"/>
      <c r="B157" s="140"/>
      <c r="C157" s="60" t="s">
        <v>176</v>
      </c>
      <c r="D157" s="150" t="s">
        <v>175</v>
      </c>
      <c r="E157" s="169" t="s">
        <v>174</v>
      </c>
      <c r="F157" s="137">
        <f>47*1.8*0.3</f>
        <v>25.380000000000003</v>
      </c>
      <c r="G157" s="144">
        <v>2482000</v>
      </c>
      <c r="H157" s="55">
        <v>0.4</v>
      </c>
      <c r="I157" s="135">
        <v>1</v>
      </c>
      <c r="J157" s="134">
        <f>ROUND((F157*G157*H157*I157),-3)</f>
        <v>25197000</v>
      </c>
      <c r="K157" s="33">
        <f t="shared" si="7"/>
        <v>25197000</v>
      </c>
    </row>
    <row r="158" spans="1:12" s="159" customFormat="1" ht="65.25" customHeight="1">
      <c r="A158" s="30"/>
      <c r="B158" s="30"/>
      <c r="C158" s="167" t="s">
        <v>170</v>
      </c>
      <c r="D158" s="166" t="s">
        <v>169</v>
      </c>
      <c r="E158" s="165" t="s">
        <v>168</v>
      </c>
      <c r="F158" s="164">
        <v>1</v>
      </c>
      <c r="G158" s="163">
        <f>J157</f>
        <v>25197000</v>
      </c>
      <c r="H158" s="162">
        <v>0.3</v>
      </c>
      <c r="I158" s="135">
        <v>1</v>
      </c>
      <c r="J158" s="160">
        <f>ROUND(F158*G158*H158*I158,-3)</f>
        <v>7559000</v>
      </c>
      <c r="K158" s="33">
        <f t="shared" si="7"/>
        <v>7559000</v>
      </c>
    </row>
    <row r="159" spans="1:12" s="53" customFormat="1" ht="33.75">
      <c r="A159" s="157"/>
      <c r="B159" s="156"/>
      <c r="C159" s="155" t="s">
        <v>173</v>
      </c>
      <c r="D159" s="150" t="s">
        <v>172</v>
      </c>
      <c r="E159" s="138" t="s">
        <v>171</v>
      </c>
      <c r="F159" s="168">
        <f>0.2*0.2*1.2</f>
        <v>4.8000000000000008E-2</v>
      </c>
      <c r="G159" s="144">
        <v>2828000</v>
      </c>
      <c r="H159" s="152">
        <v>0.4</v>
      </c>
      <c r="I159" s="135">
        <v>1</v>
      </c>
      <c r="J159" s="142">
        <f>ROUND((F159*G159*H159*I159),-3)</f>
        <v>54000</v>
      </c>
      <c r="K159" s="33">
        <f t="shared" si="7"/>
        <v>54000</v>
      </c>
    </row>
    <row r="160" spans="1:12" s="159" customFormat="1" ht="65.25" customHeight="1">
      <c r="A160" s="30"/>
      <c r="B160" s="30"/>
      <c r="C160" s="167" t="s">
        <v>170</v>
      </c>
      <c r="D160" s="166" t="s">
        <v>169</v>
      </c>
      <c r="E160" s="165" t="s">
        <v>168</v>
      </c>
      <c r="F160" s="164">
        <v>1</v>
      </c>
      <c r="G160" s="163">
        <f>J159</f>
        <v>54000</v>
      </c>
      <c r="H160" s="162">
        <v>0.3</v>
      </c>
      <c r="I160" s="135">
        <v>1</v>
      </c>
      <c r="J160" s="160">
        <f>ROUND(F160*G160*H160*I160,-3)</f>
        <v>16000</v>
      </c>
      <c r="K160" s="33">
        <f t="shared" si="7"/>
        <v>16000</v>
      </c>
    </row>
    <row r="161" spans="1:14" s="141" customFormat="1" ht="24.75" customHeight="1">
      <c r="A161" s="149"/>
      <c r="B161" s="148"/>
      <c r="C161" s="147" t="s">
        <v>167</v>
      </c>
      <c r="D161" s="150" t="s">
        <v>166</v>
      </c>
      <c r="E161" s="138" t="s">
        <v>154</v>
      </c>
      <c r="F161" s="145">
        <v>1</v>
      </c>
      <c r="G161" s="144">
        <v>286510</v>
      </c>
      <c r="H161" s="143">
        <v>1</v>
      </c>
      <c r="I161" s="135">
        <v>1</v>
      </c>
      <c r="J161" s="142">
        <f>ROUND((F161*G161*H161*I161),-3)</f>
        <v>287000</v>
      </c>
      <c r="K161" s="33">
        <f t="shared" si="7"/>
        <v>287000</v>
      </c>
    </row>
    <row r="162" spans="1:14" s="141" customFormat="1">
      <c r="A162" s="149"/>
      <c r="B162" s="148"/>
      <c r="C162" s="147" t="s">
        <v>165</v>
      </c>
      <c r="D162" s="150" t="s">
        <v>163</v>
      </c>
      <c r="E162" s="138" t="s">
        <v>147</v>
      </c>
      <c r="F162" s="145">
        <v>3</v>
      </c>
      <c r="G162" s="144">
        <v>10270</v>
      </c>
      <c r="H162" s="143">
        <v>1</v>
      </c>
      <c r="I162" s="135">
        <v>1</v>
      </c>
      <c r="J162" s="142">
        <f>ROUND((F162*G162*H162*I162),-3)</f>
        <v>31000</v>
      </c>
      <c r="K162" s="33">
        <f t="shared" si="7"/>
        <v>31000</v>
      </c>
    </row>
    <row r="163" spans="1:14" s="141" customFormat="1">
      <c r="A163" s="149"/>
      <c r="B163" s="148"/>
      <c r="C163" s="147" t="s">
        <v>164</v>
      </c>
      <c r="D163" s="150" t="s">
        <v>163</v>
      </c>
      <c r="E163" s="138" t="s">
        <v>147</v>
      </c>
      <c r="F163" s="145">
        <v>1</v>
      </c>
      <c r="G163" s="144">
        <v>10270</v>
      </c>
      <c r="H163" s="143">
        <v>1</v>
      </c>
      <c r="I163" s="135">
        <v>1</v>
      </c>
      <c r="J163" s="142">
        <f>ROUND((F163*G163*H163*I163),-3)</f>
        <v>10000</v>
      </c>
      <c r="K163" s="33">
        <f t="shared" si="7"/>
        <v>10000</v>
      </c>
    </row>
    <row r="164" spans="1:14" s="53" customFormat="1">
      <c r="A164" s="157"/>
      <c r="B164" s="156"/>
      <c r="C164" s="155" t="s">
        <v>162</v>
      </c>
      <c r="D164" s="158" t="s">
        <v>161</v>
      </c>
      <c r="E164" s="138" t="s">
        <v>147</v>
      </c>
      <c r="F164" s="154">
        <v>120</v>
      </c>
      <c r="G164" s="144">
        <v>26730</v>
      </c>
      <c r="H164" s="152">
        <v>1</v>
      </c>
      <c r="I164" s="135">
        <v>1</v>
      </c>
      <c r="J164" s="142">
        <f>ROUND(F164*G164*H164*I164,-3)</f>
        <v>3208000</v>
      </c>
      <c r="K164" s="33">
        <f t="shared" si="7"/>
        <v>3208000</v>
      </c>
    </row>
    <row r="165" spans="1:14" s="53" customFormat="1">
      <c r="A165" s="157"/>
      <c r="B165" s="156"/>
      <c r="C165" s="155" t="s">
        <v>160</v>
      </c>
      <c r="D165" s="139" t="s">
        <v>159</v>
      </c>
      <c r="E165" s="138" t="s">
        <v>147</v>
      </c>
      <c r="F165" s="154">
        <v>40</v>
      </c>
      <c r="G165" s="136">
        <v>7030</v>
      </c>
      <c r="H165" s="152">
        <v>1</v>
      </c>
      <c r="I165" s="135">
        <v>1</v>
      </c>
      <c r="J165" s="142">
        <f>ROUND(F165*G165*H165*I165,-3)</f>
        <v>281000</v>
      </c>
      <c r="K165" s="33">
        <f t="shared" si="7"/>
        <v>281000</v>
      </c>
    </row>
    <row r="166" spans="1:14" s="53" customFormat="1">
      <c r="A166" s="157"/>
      <c r="B166" s="156"/>
      <c r="C166" s="155" t="s">
        <v>158</v>
      </c>
      <c r="D166" s="139" t="s">
        <v>157</v>
      </c>
      <c r="E166" s="138" t="s">
        <v>147</v>
      </c>
      <c r="F166" s="154">
        <v>1</v>
      </c>
      <c r="G166" s="153">
        <v>412190</v>
      </c>
      <c r="H166" s="152">
        <v>1</v>
      </c>
      <c r="I166" s="135">
        <v>1</v>
      </c>
      <c r="J166" s="142">
        <f>ROUND(F166*G166*H166*I166,-3)</f>
        <v>412000</v>
      </c>
      <c r="K166" s="33">
        <f t="shared" si="7"/>
        <v>412000</v>
      </c>
    </row>
    <row r="167" spans="1:14" s="53" customFormat="1">
      <c r="A167" s="108"/>
      <c r="B167" s="140"/>
      <c r="C167" s="60" t="s">
        <v>156</v>
      </c>
      <c r="D167" s="151" t="s">
        <v>155</v>
      </c>
      <c r="E167" s="47" t="s">
        <v>154</v>
      </c>
      <c r="F167" s="137">
        <v>1</v>
      </c>
      <c r="G167" s="136">
        <v>8300</v>
      </c>
      <c r="H167" s="55">
        <v>1</v>
      </c>
      <c r="I167" s="135">
        <v>1</v>
      </c>
      <c r="J167" s="134">
        <f>ROUND((F167*G167*H167*I167),-3)</f>
        <v>8000</v>
      </c>
      <c r="K167" s="33">
        <f t="shared" si="7"/>
        <v>8000</v>
      </c>
    </row>
    <row r="168" spans="1:14" s="141" customFormat="1">
      <c r="A168" s="149"/>
      <c r="B168" s="148"/>
      <c r="C168" s="147" t="s">
        <v>153</v>
      </c>
      <c r="D168" s="150" t="s">
        <v>152</v>
      </c>
      <c r="E168" s="138" t="s">
        <v>147</v>
      </c>
      <c r="F168" s="145">
        <v>1</v>
      </c>
      <c r="G168" s="144">
        <v>1065100</v>
      </c>
      <c r="H168" s="143">
        <v>1</v>
      </c>
      <c r="I168" s="135">
        <v>1</v>
      </c>
      <c r="J168" s="142">
        <f>ROUND((F168*G168*H168*I168),-3)</f>
        <v>1065000</v>
      </c>
      <c r="K168" s="33">
        <f t="shared" si="7"/>
        <v>1065000</v>
      </c>
    </row>
    <row r="169" spans="1:14" s="141" customFormat="1">
      <c r="A169" s="149"/>
      <c r="B169" s="148"/>
      <c r="C169" s="147" t="s">
        <v>151</v>
      </c>
      <c r="D169" s="146" t="s">
        <v>150</v>
      </c>
      <c r="E169" s="138" t="s">
        <v>147</v>
      </c>
      <c r="F169" s="145">
        <v>4</v>
      </c>
      <c r="G169" s="144">
        <v>13630</v>
      </c>
      <c r="H169" s="143">
        <v>1</v>
      </c>
      <c r="I169" s="135">
        <v>1</v>
      </c>
      <c r="J169" s="142">
        <f>ROUND((F169*G169*H169*I169),-3)</f>
        <v>55000</v>
      </c>
      <c r="K169" s="33">
        <f t="shared" si="7"/>
        <v>55000</v>
      </c>
    </row>
    <row r="170" spans="1:14" s="53" customFormat="1">
      <c r="A170" s="108"/>
      <c r="B170" s="140"/>
      <c r="C170" s="60" t="s">
        <v>149</v>
      </c>
      <c r="D170" s="139" t="s">
        <v>148</v>
      </c>
      <c r="E170" s="138" t="s">
        <v>147</v>
      </c>
      <c r="F170" s="137">
        <v>1</v>
      </c>
      <c r="G170" s="136">
        <v>16590</v>
      </c>
      <c r="H170" s="55">
        <v>1</v>
      </c>
      <c r="I170" s="135">
        <v>1</v>
      </c>
      <c r="J170" s="134">
        <f>ROUND((F170*G170*H170*I170),-3)</f>
        <v>17000</v>
      </c>
      <c r="K170" s="33">
        <f t="shared" si="7"/>
        <v>17000</v>
      </c>
    </row>
    <row r="171" spans="1:14" ht="47.25" customHeight="1">
      <c r="A171" s="30">
        <v>9</v>
      </c>
      <c r="B171" s="30">
        <v>110</v>
      </c>
      <c r="C171" s="284" t="s">
        <v>146</v>
      </c>
      <c r="D171" s="285"/>
      <c r="E171" s="285"/>
      <c r="F171" s="285"/>
      <c r="G171" s="285"/>
      <c r="H171" s="285"/>
      <c r="I171" s="286"/>
      <c r="J171" s="95">
        <f>SUM(J172:J177)</f>
        <v>1886934000</v>
      </c>
      <c r="K171" s="21"/>
      <c r="L171" s="20"/>
      <c r="M171" s="19"/>
      <c r="N171" s="19"/>
    </row>
    <row r="172" spans="1:14" s="53" customFormat="1" ht="63">
      <c r="A172" s="311"/>
      <c r="B172" s="312"/>
      <c r="C172" s="313" t="s">
        <v>381</v>
      </c>
      <c r="D172" s="197" t="s">
        <v>118</v>
      </c>
      <c r="E172" s="196" t="s">
        <v>380</v>
      </c>
      <c r="F172" s="195">
        <v>270.39999999999998</v>
      </c>
      <c r="G172" s="194">
        <v>5796000</v>
      </c>
      <c r="H172" s="24">
        <v>1</v>
      </c>
      <c r="I172" s="192">
        <v>1.1499999999999999</v>
      </c>
      <c r="J172" s="191">
        <f>ROUND(F172*G172*H172*I172,-3)</f>
        <v>1802324000</v>
      </c>
      <c r="K172" s="314">
        <f t="shared" ref="K172:K177" si="8">ROUND(F172*G172*H172*I172,-3)</f>
        <v>1802324000</v>
      </c>
    </row>
    <row r="173" spans="1:14" ht="47.25">
      <c r="A173" s="30"/>
      <c r="B173" s="30"/>
      <c r="C173" s="29" t="s">
        <v>145</v>
      </c>
      <c r="D173" s="28" t="s">
        <v>45</v>
      </c>
      <c r="E173" s="27" t="s">
        <v>25</v>
      </c>
      <c r="F173" s="96">
        <v>98.399999999999991</v>
      </c>
      <c r="G173" s="194">
        <v>792000</v>
      </c>
      <c r="H173" s="24">
        <v>1</v>
      </c>
      <c r="I173" s="23">
        <v>1</v>
      </c>
      <c r="J173" s="76">
        <f>ROUND(F173*G173*H173*I173,-3)</f>
        <v>77933000</v>
      </c>
      <c r="K173" s="314">
        <f t="shared" si="8"/>
        <v>77933000</v>
      </c>
      <c r="L173" s="20"/>
      <c r="M173" s="19"/>
      <c r="N173" s="19"/>
    </row>
    <row r="174" spans="1:14" ht="31.5">
      <c r="A174" s="30"/>
      <c r="B174" s="30"/>
      <c r="C174" s="29" t="s">
        <v>144</v>
      </c>
      <c r="D174" s="81" t="s">
        <v>5</v>
      </c>
      <c r="E174" s="81" t="s">
        <v>4</v>
      </c>
      <c r="F174" s="26">
        <v>240</v>
      </c>
      <c r="G174" s="194">
        <v>26730</v>
      </c>
      <c r="H174" s="78">
        <v>1</v>
      </c>
      <c r="I174" s="77">
        <v>1</v>
      </c>
      <c r="J174" s="76">
        <f>ROUND(F174*G174*H174*I174,-3)</f>
        <v>6415000</v>
      </c>
      <c r="K174" s="314">
        <f t="shared" si="8"/>
        <v>6415000</v>
      </c>
      <c r="L174" s="20"/>
      <c r="M174" s="19"/>
      <c r="N174" s="19"/>
    </row>
    <row r="175" spans="1:14" ht="31.5">
      <c r="A175" s="30"/>
      <c r="B175" s="30"/>
      <c r="C175" s="29" t="s">
        <v>132</v>
      </c>
      <c r="D175" s="81" t="s">
        <v>5</v>
      </c>
      <c r="E175" s="81" t="s">
        <v>4</v>
      </c>
      <c r="F175" s="26">
        <v>25</v>
      </c>
      <c r="G175" s="194">
        <v>7030</v>
      </c>
      <c r="H175" s="78">
        <v>1</v>
      </c>
      <c r="I175" s="77">
        <v>1</v>
      </c>
      <c r="J175" s="76">
        <f>ROUND(F175*G175*H175*I175,-3)</f>
        <v>176000</v>
      </c>
      <c r="K175" s="314">
        <f t="shared" si="8"/>
        <v>176000</v>
      </c>
      <c r="L175" s="20"/>
      <c r="M175" s="19"/>
      <c r="N175" s="19"/>
    </row>
    <row r="176" spans="1:14">
      <c r="A176" s="30"/>
      <c r="B176" s="30"/>
      <c r="C176" s="29" t="s">
        <v>143</v>
      </c>
      <c r="D176" s="28" t="s">
        <v>382</v>
      </c>
      <c r="E176" s="81" t="s">
        <v>4</v>
      </c>
      <c r="F176" s="26">
        <v>2</v>
      </c>
      <c r="G176" s="194">
        <v>13630</v>
      </c>
      <c r="H176" s="78">
        <v>1</v>
      </c>
      <c r="I176" s="77">
        <v>1</v>
      </c>
      <c r="J176" s="76">
        <f>ROUND(F176*G176*H176*I176,-3)</f>
        <v>27000</v>
      </c>
      <c r="K176" s="314">
        <f t="shared" si="8"/>
        <v>27000</v>
      </c>
      <c r="L176" s="20"/>
      <c r="M176" s="19"/>
      <c r="N176" s="19"/>
    </row>
    <row r="177" spans="1:14">
      <c r="A177" s="30"/>
      <c r="B177" s="30"/>
      <c r="C177" s="29" t="s">
        <v>142</v>
      </c>
      <c r="D177" s="28" t="s">
        <v>383</v>
      </c>
      <c r="E177" s="81" t="s">
        <v>4</v>
      </c>
      <c r="F177" s="26">
        <v>2</v>
      </c>
      <c r="G177" s="194">
        <v>29290</v>
      </c>
      <c r="H177" s="78">
        <v>1</v>
      </c>
      <c r="I177" s="77">
        <v>1</v>
      </c>
      <c r="J177" s="76">
        <f>ROUND(F177*G177*H177*I177,-3)</f>
        <v>59000</v>
      </c>
      <c r="K177" s="314">
        <f t="shared" si="8"/>
        <v>59000</v>
      </c>
      <c r="L177" s="20"/>
      <c r="M177" s="19"/>
      <c r="N177" s="19"/>
    </row>
    <row r="178" spans="1:14" s="31" customFormat="1" ht="46.5" customHeight="1">
      <c r="A178" s="41">
        <v>10</v>
      </c>
      <c r="B178" s="41">
        <v>113</v>
      </c>
      <c r="C178" s="287" t="s">
        <v>141</v>
      </c>
      <c r="D178" s="288"/>
      <c r="E178" s="288"/>
      <c r="F178" s="288"/>
      <c r="G178" s="288"/>
      <c r="H178" s="289"/>
      <c r="I178" s="41"/>
      <c r="J178" s="126">
        <f>SUM(J179:J193)</f>
        <v>34543000</v>
      </c>
      <c r="K178" s="115">
        <f>ROUND(F178*G178*H178*I178,-3)</f>
        <v>0</v>
      </c>
      <c r="L178" s="32"/>
      <c r="M178" s="32"/>
    </row>
    <row r="179" spans="1:14" s="114" customFormat="1" ht="78.75">
      <c r="A179" s="125"/>
      <c r="B179" s="124"/>
      <c r="C179" s="123" t="s">
        <v>119</v>
      </c>
      <c r="D179" s="122" t="s">
        <v>118</v>
      </c>
      <c r="E179" s="121" t="s">
        <v>115</v>
      </c>
      <c r="F179" s="120">
        <v>333.4</v>
      </c>
      <c r="G179" s="119">
        <v>33000</v>
      </c>
      <c r="H179" s="118">
        <v>1</v>
      </c>
      <c r="I179" s="117">
        <v>1</v>
      </c>
      <c r="J179" s="116">
        <f>ROUND(F179*G179*H179*I179,-3)</f>
        <v>11002000</v>
      </c>
      <c r="K179" s="115">
        <f>ROUND(F179*G179*H179*I179,-3)</f>
        <v>11002000</v>
      </c>
    </row>
    <row r="180" spans="1:14" s="114" customFormat="1" ht="43.5" customHeight="1">
      <c r="A180" s="125"/>
      <c r="B180" s="124"/>
      <c r="C180" s="123" t="s">
        <v>117</v>
      </c>
      <c r="D180" s="122" t="s">
        <v>116</v>
      </c>
      <c r="E180" s="121" t="s">
        <v>115</v>
      </c>
      <c r="F180" s="120">
        <v>333.4</v>
      </c>
      <c r="G180" s="119"/>
      <c r="H180" s="118">
        <v>0.5</v>
      </c>
      <c r="I180" s="117">
        <v>1</v>
      </c>
      <c r="J180" s="116">
        <f>ROUND(F180*G180*H180*I180,-3)</f>
        <v>0</v>
      </c>
      <c r="K180" s="115">
        <f>ROUND(F180*G180*H180*I180,-3)</f>
        <v>0</v>
      </c>
    </row>
    <row r="181" spans="1:14" s="114" customFormat="1" ht="47.25">
      <c r="A181" s="125"/>
      <c r="B181" s="124"/>
      <c r="C181" s="133" t="s">
        <v>140</v>
      </c>
      <c r="D181" s="122"/>
      <c r="E181" s="121"/>
      <c r="F181" s="120"/>
      <c r="G181" s="298"/>
      <c r="H181" s="298"/>
      <c r="I181" s="298"/>
      <c r="J181" s="116"/>
      <c r="K181" s="115"/>
    </row>
    <row r="182" spans="1:14" s="42" customFormat="1" ht="46.5" customHeight="1">
      <c r="A182" s="30"/>
      <c r="B182" s="30"/>
      <c r="C182" s="49" t="s">
        <v>139</v>
      </c>
      <c r="D182" s="81" t="s">
        <v>138</v>
      </c>
      <c r="E182" s="81" t="s">
        <v>4</v>
      </c>
      <c r="F182" s="80">
        <v>1</v>
      </c>
      <c r="G182" s="79"/>
      <c r="H182" s="78">
        <v>1</v>
      </c>
      <c r="I182" s="77">
        <v>1</v>
      </c>
      <c r="J182" s="76">
        <f>ROUND(F182*G182*H182*I182,-3)</f>
        <v>0</v>
      </c>
      <c r="K182" s="21"/>
      <c r="L182" s="20"/>
      <c r="M182" s="19"/>
      <c r="N182" s="19"/>
    </row>
    <row r="183" spans="1:14" s="42" customFormat="1" ht="30" customHeight="1">
      <c r="A183" s="97"/>
      <c r="B183" s="97"/>
      <c r="C183" s="29" t="s">
        <v>137</v>
      </c>
      <c r="D183" s="28"/>
      <c r="E183" s="81" t="s">
        <v>4</v>
      </c>
      <c r="F183" s="87">
        <v>2</v>
      </c>
      <c r="G183" s="25"/>
      <c r="H183" s="85">
        <v>1</v>
      </c>
      <c r="I183" s="23">
        <v>1</v>
      </c>
      <c r="J183" s="43">
        <f>ROUND((F183*G183*H183*I183),-3)</f>
        <v>0</v>
      </c>
      <c r="K183" s="21">
        <f>ROUND(F183*G183*H183*I183,-3)</f>
        <v>0</v>
      </c>
      <c r="L183" s="20"/>
      <c r="M183" s="20"/>
      <c r="N183" s="19"/>
    </row>
    <row r="184" spans="1:14" s="42" customFormat="1">
      <c r="A184" s="97"/>
      <c r="B184" s="97"/>
      <c r="C184" s="29" t="s">
        <v>136</v>
      </c>
      <c r="D184" s="28"/>
      <c r="E184" s="81" t="s">
        <v>4</v>
      </c>
      <c r="F184" s="87">
        <v>5</v>
      </c>
      <c r="G184" s="25"/>
      <c r="H184" s="85">
        <v>1</v>
      </c>
      <c r="I184" s="83">
        <v>1</v>
      </c>
      <c r="J184" s="22">
        <f t="shared" ref="J184:J193" si="9">ROUND(F184*G184*H184*I184,-3)</f>
        <v>0</v>
      </c>
      <c r="K184" s="21">
        <f>ROUND(F184*G184*H184*I184,-3)</f>
        <v>0</v>
      </c>
      <c r="L184" s="20"/>
      <c r="M184" s="20"/>
      <c r="N184" s="19"/>
    </row>
    <row r="185" spans="1:14" s="42" customFormat="1">
      <c r="A185" s="97"/>
      <c r="B185" s="97"/>
      <c r="C185" s="29" t="s">
        <v>135</v>
      </c>
      <c r="D185" s="28"/>
      <c r="E185" s="81" t="s">
        <v>4</v>
      </c>
      <c r="F185" s="50">
        <v>1</v>
      </c>
      <c r="G185" s="25"/>
      <c r="H185" s="24">
        <v>1</v>
      </c>
      <c r="I185" s="44">
        <v>1</v>
      </c>
      <c r="J185" s="22">
        <f t="shared" si="9"/>
        <v>0</v>
      </c>
      <c r="K185" s="21">
        <f>ROUND(F185*G185*H185*I185,-3)</f>
        <v>0</v>
      </c>
      <c r="L185" s="20"/>
      <c r="M185" s="20"/>
      <c r="N185" s="19"/>
    </row>
    <row r="186" spans="1:14" s="42" customFormat="1" ht="39" customHeight="1">
      <c r="A186" s="97"/>
      <c r="B186" s="97"/>
      <c r="C186" s="29" t="s">
        <v>134</v>
      </c>
      <c r="D186" s="28"/>
      <c r="E186" s="81" t="s">
        <v>4</v>
      </c>
      <c r="F186" s="50">
        <v>1</v>
      </c>
      <c r="G186" s="25"/>
      <c r="H186" s="24">
        <v>1</v>
      </c>
      <c r="I186" s="44">
        <v>1</v>
      </c>
      <c r="J186" s="22">
        <f t="shared" si="9"/>
        <v>0</v>
      </c>
      <c r="K186" s="21">
        <f>ROUND(F186*G186*H186*I186,-3)</f>
        <v>0</v>
      </c>
      <c r="L186" s="20"/>
      <c r="M186" s="20"/>
      <c r="N186" s="19"/>
    </row>
    <row r="187" spans="1:14" s="31" customFormat="1" ht="31.5">
      <c r="A187" s="112"/>
      <c r="B187" s="112"/>
      <c r="C187" s="111" t="s">
        <v>133</v>
      </c>
      <c r="D187" s="39" t="s">
        <v>5</v>
      </c>
      <c r="E187" s="39" t="s">
        <v>4</v>
      </c>
      <c r="F187" s="110">
        <v>120</v>
      </c>
      <c r="G187" s="37">
        <v>26730</v>
      </c>
      <c r="H187" s="36">
        <v>1</v>
      </c>
      <c r="I187" s="35">
        <v>1</v>
      </c>
      <c r="J187" s="34">
        <f t="shared" si="9"/>
        <v>3208000</v>
      </c>
      <c r="K187" s="109"/>
      <c r="L187" s="32"/>
      <c r="M187" s="32"/>
    </row>
    <row r="188" spans="1:14" s="31" customFormat="1" ht="31.5">
      <c r="A188" s="41"/>
      <c r="B188" s="41"/>
      <c r="C188" s="40" t="s">
        <v>132</v>
      </c>
      <c r="D188" s="39" t="s">
        <v>5</v>
      </c>
      <c r="E188" s="39" t="s">
        <v>4</v>
      </c>
      <c r="F188" s="38">
        <v>25</v>
      </c>
      <c r="G188" s="37">
        <v>7030</v>
      </c>
      <c r="H188" s="36">
        <v>1</v>
      </c>
      <c r="I188" s="35">
        <v>1</v>
      </c>
      <c r="J188" s="34">
        <f t="shared" si="9"/>
        <v>176000</v>
      </c>
      <c r="K188" s="109"/>
      <c r="L188" s="32"/>
    </row>
    <row r="189" spans="1:14" s="31" customFormat="1" ht="31.5">
      <c r="A189" s="112"/>
      <c r="B189" s="112"/>
      <c r="C189" s="111" t="s">
        <v>131</v>
      </c>
      <c r="D189" s="39" t="s">
        <v>32</v>
      </c>
      <c r="E189" s="39" t="s">
        <v>4</v>
      </c>
      <c r="F189" s="113">
        <v>285</v>
      </c>
      <c r="G189" s="37">
        <v>8200</v>
      </c>
      <c r="H189" s="36">
        <v>1</v>
      </c>
      <c r="I189" s="113">
        <v>1</v>
      </c>
      <c r="J189" s="34">
        <f t="shared" si="9"/>
        <v>2337000</v>
      </c>
      <c r="K189" s="109"/>
      <c r="L189" s="32"/>
      <c r="M189" s="32"/>
    </row>
    <row r="190" spans="1:14" s="31" customFormat="1" ht="47.25">
      <c r="A190" s="132"/>
      <c r="B190" s="132"/>
      <c r="C190" s="111" t="s">
        <v>130</v>
      </c>
      <c r="D190" s="74" t="s">
        <v>45</v>
      </c>
      <c r="E190" s="73" t="s">
        <v>16</v>
      </c>
      <c r="F190" s="110">
        <f>15*1.5</f>
        <v>22.5</v>
      </c>
      <c r="G190" s="72">
        <v>792000</v>
      </c>
      <c r="H190" s="131">
        <v>1</v>
      </c>
      <c r="I190" s="130">
        <v>1</v>
      </c>
      <c r="J190" s="70">
        <f t="shared" si="9"/>
        <v>17820000</v>
      </c>
      <c r="K190" s="109">
        <f>ROUND(F190*G190*H190*I190,-3)</f>
        <v>17820000</v>
      </c>
      <c r="L190" s="32">
        <f>F190+8.25*4.6</f>
        <v>60.449999999999996</v>
      </c>
      <c r="M190" s="32"/>
    </row>
    <row r="191" spans="1:14" s="42" customFormat="1">
      <c r="A191" s="129"/>
      <c r="B191" s="129"/>
      <c r="C191" s="29" t="s">
        <v>129</v>
      </c>
      <c r="D191" s="28"/>
      <c r="E191" s="27"/>
      <c r="F191" s="87">
        <v>20</v>
      </c>
      <c r="G191" s="25"/>
      <c r="H191" s="24">
        <v>1</v>
      </c>
      <c r="I191" s="44">
        <v>1</v>
      </c>
      <c r="J191" s="22">
        <f t="shared" si="9"/>
        <v>0</v>
      </c>
      <c r="K191" s="21">
        <f>ROUND(F191*G191*H191*I191,-3)</f>
        <v>0</v>
      </c>
      <c r="L191" s="20"/>
      <c r="M191" s="20"/>
      <c r="N191" s="19"/>
    </row>
    <row r="192" spans="1:14" s="42" customFormat="1">
      <c r="A192" s="128"/>
      <c r="B192" s="128"/>
      <c r="C192" s="29" t="s">
        <v>128</v>
      </c>
      <c r="D192" s="28"/>
      <c r="E192" s="27"/>
      <c r="F192" s="50">
        <v>1</v>
      </c>
      <c r="G192" s="25"/>
      <c r="H192" s="24">
        <v>1</v>
      </c>
      <c r="I192" s="44">
        <v>1</v>
      </c>
      <c r="J192" s="22">
        <f t="shared" si="9"/>
        <v>0</v>
      </c>
      <c r="K192" s="21">
        <f>ROUND(F192*G192*H192*I192,-3)</f>
        <v>0</v>
      </c>
      <c r="L192" s="20"/>
      <c r="M192" s="20"/>
      <c r="N192" s="19"/>
    </row>
    <row r="193" spans="1:14" s="42" customFormat="1">
      <c r="A193" s="128"/>
      <c r="B193" s="128"/>
      <c r="C193" s="29" t="s">
        <v>127</v>
      </c>
      <c r="D193" s="81"/>
      <c r="E193" s="81"/>
      <c r="F193" s="87">
        <v>100</v>
      </c>
      <c r="G193" s="82"/>
      <c r="H193" s="78">
        <v>1</v>
      </c>
      <c r="I193" s="77">
        <v>1</v>
      </c>
      <c r="J193" s="76">
        <f t="shared" si="9"/>
        <v>0</v>
      </c>
      <c r="K193" s="21">
        <f>ROUND(F193*G193*H193*I193,-3)</f>
        <v>0</v>
      </c>
      <c r="L193" s="20"/>
      <c r="M193" s="20"/>
      <c r="N193" s="19"/>
    </row>
    <row r="194" spans="1:14" ht="63" customHeight="1">
      <c r="A194" s="30">
        <v>11</v>
      </c>
      <c r="B194" s="30">
        <v>115</v>
      </c>
      <c r="C194" s="284" t="s">
        <v>126</v>
      </c>
      <c r="D194" s="285"/>
      <c r="E194" s="285"/>
      <c r="F194" s="285"/>
      <c r="G194" s="285"/>
      <c r="H194" s="285"/>
      <c r="I194" s="286"/>
      <c r="J194" s="95">
        <f>SUM(J195:J200)</f>
        <v>33252000</v>
      </c>
      <c r="K194" s="21"/>
      <c r="L194" s="20"/>
      <c r="M194" s="19"/>
      <c r="N194" s="19"/>
    </row>
    <row r="195" spans="1:14" s="114" customFormat="1" ht="78.75">
      <c r="A195" s="125"/>
      <c r="B195" s="124"/>
      <c r="C195" s="123" t="s">
        <v>119</v>
      </c>
      <c r="D195" s="122" t="s">
        <v>118</v>
      </c>
      <c r="E195" s="121" t="s">
        <v>115</v>
      </c>
      <c r="F195" s="120">
        <v>4.8</v>
      </c>
      <c r="G195" s="119">
        <v>33000</v>
      </c>
      <c r="H195" s="118">
        <v>1</v>
      </c>
      <c r="I195" s="117">
        <v>1</v>
      </c>
      <c r="J195" s="116">
        <f>ROUND(F195*G195*H195*I195,-3)</f>
        <v>158000</v>
      </c>
      <c r="K195" s="115">
        <f>ROUND(F195*G195*H195*I195,-3)</f>
        <v>158000</v>
      </c>
    </row>
    <row r="196" spans="1:14" s="114" customFormat="1" ht="43.5" customHeight="1">
      <c r="A196" s="125"/>
      <c r="B196" s="124"/>
      <c r="C196" s="123" t="s">
        <v>117</v>
      </c>
      <c r="D196" s="122" t="s">
        <v>116</v>
      </c>
      <c r="E196" s="121" t="s">
        <v>115</v>
      </c>
      <c r="F196" s="120">
        <v>4.8</v>
      </c>
      <c r="G196" s="119">
        <v>10350000</v>
      </c>
      <c r="H196" s="118">
        <v>0.5</v>
      </c>
      <c r="I196" s="117">
        <v>1</v>
      </c>
      <c r="J196" s="116">
        <f>ROUND(F196*G196*H196*I196,-3)</f>
        <v>24840000</v>
      </c>
      <c r="K196" s="115">
        <f>ROUND(F196*G196*H196*I196,-3)</f>
        <v>24840000</v>
      </c>
    </row>
    <row r="197" spans="1:14" ht="31.5">
      <c r="A197" s="30"/>
      <c r="B197" s="30"/>
      <c r="C197" s="29" t="s">
        <v>125</v>
      </c>
      <c r="D197" s="28"/>
      <c r="E197" s="27"/>
      <c r="F197" s="26"/>
      <c r="G197" s="119"/>
      <c r="H197" s="24">
        <v>1</v>
      </c>
      <c r="I197" s="23">
        <v>1</v>
      </c>
      <c r="J197" s="76">
        <f>ROUND(F197*G197*H197*I197,-3)</f>
        <v>0</v>
      </c>
      <c r="K197" s="21"/>
      <c r="L197" s="20"/>
      <c r="M197" s="19"/>
      <c r="N197" s="19"/>
    </row>
    <row r="198" spans="1:14" ht="47.25">
      <c r="A198" s="30"/>
      <c r="B198" s="30"/>
      <c r="C198" s="29" t="s">
        <v>124</v>
      </c>
      <c r="D198" s="28" t="s">
        <v>123</v>
      </c>
      <c r="E198" s="27" t="s">
        <v>25</v>
      </c>
      <c r="F198" s="127">
        <v>12</v>
      </c>
      <c r="G198" s="119">
        <v>679000</v>
      </c>
      <c r="H198" s="24">
        <v>1</v>
      </c>
      <c r="I198" s="23">
        <v>1</v>
      </c>
      <c r="J198" s="76">
        <f>ROUND(F198*G198*H198*I198,-3)</f>
        <v>8148000</v>
      </c>
      <c r="K198" s="21"/>
      <c r="L198" s="20"/>
      <c r="M198" s="19"/>
      <c r="N198" s="19"/>
    </row>
    <row r="199" spans="1:14" ht="47.25">
      <c r="A199" s="30"/>
      <c r="B199" s="30"/>
      <c r="C199" s="29" t="s">
        <v>122</v>
      </c>
      <c r="D199" s="48" t="s">
        <v>8</v>
      </c>
      <c r="E199" s="27" t="s">
        <v>25</v>
      </c>
      <c r="F199" s="26">
        <v>9.6</v>
      </c>
      <c r="G199" s="119">
        <v>11000</v>
      </c>
      <c r="H199" s="24">
        <v>1</v>
      </c>
      <c r="I199" s="84">
        <v>1</v>
      </c>
      <c r="J199" s="76">
        <f>ROUND(F199*G199*H199*I199,-3)</f>
        <v>106000</v>
      </c>
      <c r="K199" s="21"/>
      <c r="L199" s="20"/>
      <c r="M199" s="19"/>
      <c r="N199" s="19"/>
    </row>
    <row r="200" spans="1:14">
      <c r="A200" s="30"/>
      <c r="B200" s="30"/>
      <c r="C200" s="29" t="s">
        <v>121</v>
      </c>
      <c r="D200" s="28"/>
      <c r="E200" s="27"/>
      <c r="F200" s="26"/>
      <c r="G200" s="25"/>
      <c r="H200" s="24">
        <v>1</v>
      </c>
      <c r="I200" s="84">
        <v>1</v>
      </c>
      <c r="J200" s="76">
        <f>ROUND(F200*G200*H200*I200,-3)</f>
        <v>0</v>
      </c>
      <c r="K200" s="21"/>
      <c r="L200" s="20"/>
      <c r="M200" s="19"/>
      <c r="N200" s="19"/>
    </row>
    <row r="201" spans="1:14" s="31" customFormat="1" ht="41.25" customHeight="1">
      <c r="A201" s="41">
        <v>12</v>
      </c>
      <c r="B201" s="41">
        <v>108</v>
      </c>
      <c r="C201" s="287" t="s">
        <v>120</v>
      </c>
      <c r="D201" s="288"/>
      <c r="E201" s="288"/>
      <c r="F201" s="288"/>
      <c r="G201" s="288"/>
      <c r="H201" s="289"/>
      <c r="I201" s="41"/>
      <c r="J201" s="126">
        <f>SUM(J202:J219)</f>
        <v>20871000</v>
      </c>
      <c r="K201" s="115">
        <f t="shared" ref="K201:K209" si="10">ROUND(F201*G201*H201*I201,-3)</f>
        <v>0</v>
      </c>
      <c r="L201" s="32"/>
      <c r="M201" s="32"/>
    </row>
    <row r="202" spans="1:14" s="114" customFormat="1" ht="78.75">
      <c r="A202" s="125"/>
      <c r="B202" s="124"/>
      <c r="C202" s="123" t="s">
        <v>119</v>
      </c>
      <c r="D202" s="122" t="s">
        <v>118</v>
      </c>
      <c r="E202" s="121" t="s">
        <v>115</v>
      </c>
      <c r="F202" s="120">
        <v>385.9</v>
      </c>
      <c r="G202" s="119">
        <v>33000</v>
      </c>
      <c r="H202" s="118">
        <v>1</v>
      </c>
      <c r="I202" s="117">
        <v>1</v>
      </c>
      <c r="J202" s="116">
        <f>ROUND(F202*G202*H202*I202,-3)</f>
        <v>12735000</v>
      </c>
      <c r="K202" s="115">
        <f t="shared" si="10"/>
        <v>12735000</v>
      </c>
    </row>
    <row r="203" spans="1:14" s="114" customFormat="1" ht="43.5" customHeight="1">
      <c r="A203" s="125"/>
      <c r="B203" s="124"/>
      <c r="C203" s="123" t="s">
        <v>117</v>
      </c>
      <c r="D203" s="122" t="s">
        <v>116</v>
      </c>
      <c r="E203" s="121" t="s">
        <v>115</v>
      </c>
      <c r="F203" s="120">
        <v>385.9</v>
      </c>
      <c r="G203" s="119"/>
      <c r="H203" s="118">
        <v>0.5</v>
      </c>
      <c r="I203" s="117">
        <v>1</v>
      </c>
      <c r="J203" s="116">
        <f>ROUND(F203*G203*H203*I203,-3)</f>
        <v>0</v>
      </c>
      <c r="K203" s="115">
        <f t="shared" si="10"/>
        <v>0</v>
      </c>
    </row>
    <row r="204" spans="1:14" s="42" customFormat="1" ht="30" customHeight="1">
      <c r="A204" s="97"/>
      <c r="B204" s="97"/>
      <c r="C204" s="29" t="s">
        <v>114</v>
      </c>
      <c r="D204" s="28"/>
      <c r="E204" s="81" t="s">
        <v>4</v>
      </c>
      <c r="F204" s="87">
        <v>1</v>
      </c>
      <c r="G204" s="25"/>
      <c r="H204" s="85">
        <v>1</v>
      </c>
      <c r="I204" s="23">
        <v>1</v>
      </c>
      <c r="J204" s="43">
        <f>ROUND((F204*G204*H204*I204),-3)</f>
        <v>0</v>
      </c>
      <c r="K204" s="21">
        <f t="shared" si="10"/>
        <v>0</v>
      </c>
      <c r="L204" s="20"/>
      <c r="M204" s="20"/>
      <c r="N204" s="19"/>
    </row>
    <row r="205" spans="1:14" s="42" customFormat="1">
      <c r="A205" s="97"/>
      <c r="B205" s="97"/>
      <c r="C205" s="29" t="s">
        <v>113</v>
      </c>
      <c r="D205" s="28"/>
      <c r="E205" s="81" t="s">
        <v>4</v>
      </c>
      <c r="F205" s="87">
        <v>1</v>
      </c>
      <c r="G205" s="25"/>
      <c r="H205" s="85">
        <v>1</v>
      </c>
      <c r="I205" s="83">
        <v>1</v>
      </c>
      <c r="J205" s="22">
        <f>ROUND(F205*G205*H205*I205,-3)</f>
        <v>0</v>
      </c>
      <c r="K205" s="21">
        <f t="shared" si="10"/>
        <v>0</v>
      </c>
      <c r="L205" s="20"/>
      <c r="M205" s="20"/>
      <c r="N205" s="19"/>
    </row>
    <row r="206" spans="1:14" s="42" customFormat="1" ht="26.25" customHeight="1">
      <c r="A206" s="97"/>
      <c r="B206" s="97"/>
      <c r="C206" s="29" t="s">
        <v>112</v>
      </c>
      <c r="D206" s="28"/>
      <c r="E206" s="81" t="s">
        <v>4</v>
      </c>
      <c r="F206" s="87">
        <v>5</v>
      </c>
      <c r="G206" s="25"/>
      <c r="H206" s="85">
        <v>1</v>
      </c>
      <c r="I206" s="83">
        <v>1</v>
      </c>
      <c r="J206" s="22">
        <f>ROUND(F206*G206*H206*I206,-3)</f>
        <v>0</v>
      </c>
      <c r="K206" s="21">
        <f t="shared" si="10"/>
        <v>0</v>
      </c>
      <c r="L206" s="20"/>
      <c r="M206" s="20"/>
      <c r="N206" s="19"/>
    </row>
    <row r="207" spans="1:14" s="42" customFormat="1" ht="26.25" customHeight="1">
      <c r="A207" s="97"/>
      <c r="B207" s="97"/>
      <c r="C207" s="29" t="s">
        <v>111</v>
      </c>
      <c r="D207" s="28"/>
      <c r="E207" s="81" t="s">
        <v>4</v>
      </c>
      <c r="F207" s="87">
        <v>24</v>
      </c>
      <c r="G207" s="25"/>
      <c r="H207" s="85">
        <v>1</v>
      </c>
      <c r="I207" s="83">
        <v>1</v>
      </c>
      <c r="J207" s="22">
        <f>ROUND(F207*G207*H207*I207,-3)</f>
        <v>0</v>
      </c>
      <c r="K207" s="21">
        <f t="shared" si="10"/>
        <v>0</v>
      </c>
      <c r="L207" s="20"/>
      <c r="M207" s="20"/>
      <c r="N207" s="19"/>
    </row>
    <row r="208" spans="1:14" s="42" customFormat="1" ht="30" customHeight="1">
      <c r="A208" s="97"/>
      <c r="B208" s="97"/>
      <c r="C208" s="29" t="s">
        <v>110</v>
      </c>
      <c r="D208" s="28"/>
      <c r="E208" s="81" t="s">
        <v>4</v>
      </c>
      <c r="F208" s="87">
        <v>5</v>
      </c>
      <c r="G208" s="25"/>
      <c r="H208" s="85">
        <v>1</v>
      </c>
      <c r="I208" s="23">
        <v>1</v>
      </c>
      <c r="J208" s="43">
        <f>ROUND((F208*G208*H208*I208),-3)</f>
        <v>0</v>
      </c>
      <c r="K208" s="21">
        <f t="shared" si="10"/>
        <v>0</v>
      </c>
      <c r="L208" s="20"/>
      <c r="M208" s="20"/>
      <c r="N208" s="19"/>
    </row>
    <row r="209" spans="1:14" s="42" customFormat="1" ht="30" customHeight="1">
      <c r="A209" s="97"/>
      <c r="B209" s="97"/>
      <c r="C209" s="29" t="s">
        <v>109</v>
      </c>
      <c r="D209" s="28"/>
      <c r="E209" s="81" t="s">
        <v>4</v>
      </c>
      <c r="F209" s="87">
        <v>7</v>
      </c>
      <c r="G209" s="25"/>
      <c r="H209" s="85">
        <v>1</v>
      </c>
      <c r="I209" s="23">
        <v>1</v>
      </c>
      <c r="J209" s="43">
        <f>ROUND((F209*G209*H209*I209),-3)</f>
        <v>0</v>
      </c>
      <c r="K209" s="21">
        <f t="shared" si="10"/>
        <v>0</v>
      </c>
      <c r="L209" s="20"/>
      <c r="M209" s="20"/>
      <c r="N209" s="19"/>
    </row>
    <row r="210" spans="1:14" s="31" customFormat="1" ht="31.5">
      <c r="A210" s="112"/>
      <c r="B210" s="112"/>
      <c r="C210" s="111" t="s">
        <v>108</v>
      </c>
      <c r="D210" s="39" t="s">
        <v>32</v>
      </c>
      <c r="E210" s="39" t="s">
        <v>4</v>
      </c>
      <c r="F210" s="113">
        <v>927</v>
      </c>
      <c r="G210" s="37">
        <v>8200</v>
      </c>
      <c r="H210" s="36">
        <v>1</v>
      </c>
      <c r="I210" s="113">
        <v>1</v>
      </c>
      <c r="J210" s="34">
        <f t="shared" ref="J210:J219" si="11">ROUND(F210*G210*H210*I210,-3)</f>
        <v>7601000</v>
      </c>
      <c r="K210" s="109"/>
      <c r="L210" s="32"/>
      <c r="M210" s="32"/>
    </row>
    <row r="211" spans="1:14" s="31" customFormat="1" ht="31.5">
      <c r="A211" s="112"/>
      <c r="B211" s="112"/>
      <c r="C211" s="111" t="s">
        <v>107</v>
      </c>
      <c r="D211" s="39" t="s">
        <v>5</v>
      </c>
      <c r="E211" s="39" t="s">
        <v>4</v>
      </c>
      <c r="F211" s="110">
        <v>20</v>
      </c>
      <c r="G211" s="37">
        <v>26730</v>
      </c>
      <c r="H211" s="36">
        <v>1</v>
      </c>
      <c r="I211" s="35">
        <v>1</v>
      </c>
      <c r="J211" s="34">
        <f t="shared" si="11"/>
        <v>535000</v>
      </c>
      <c r="K211" s="109"/>
      <c r="L211" s="32"/>
      <c r="M211" s="32"/>
    </row>
    <row r="212" spans="1:14" s="98" customFormat="1" ht="25.5" customHeight="1">
      <c r="A212" s="108"/>
      <c r="B212" s="108"/>
      <c r="C212" s="107" t="s">
        <v>106</v>
      </c>
      <c r="D212" s="106"/>
      <c r="E212" s="106" t="s">
        <v>4</v>
      </c>
      <c r="F212" s="105">
        <v>1</v>
      </c>
      <c r="G212" s="104"/>
      <c r="H212" s="103">
        <v>1</v>
      </c>
      <c r="I212" s="102">
        <v>1</v>
      </c>
      <c r="J212" s="101">
        <f t="shared" si="11"/>
        <v>0</v>
      </c>
      <c r="K212" s="100"/>
      <c r="L212" s="99"/>
    </row>
    <row r="213" spans="1:14" s="42" customFormat="1" ht="28.5" customHeight="1">
      <c r="A213" s="97"/>
      <c r="B213" s="97"/>
      <c r="C213" s="29" t="s">
        <v>105</v>
      </c>
      <c r="D213" s="81"/>
      <c r="E213" s="81" t="s">
        <v>4</v>
      </c>
      <c r="F213" s="80">
        <v>2</v>
      </c>
      <c r="G213" s="82"/>
      <c r="H213" s="78">
        <v>1</v>
      </c>
      <c r="I213" s="77">
        <v>1</v>
      </c>
      <c r="J213" s="76">
        <f t="shared" si="11"/>
        <v>0</v>
      </c>
      <c r="K213" s="21">
        <f t="shared" ref="K213:K219" si="12">ROUND(F213*G213*H213*I213,-3)</f>
        <v>0</v>
      </c>
      <c r="L213" s="20"/>
      <c r="M213" s="20"/>
      <c r="N213" s="19"/>
    </row>
    <row r="214" spans="1:14" s="42" customFormat="1" ht="21.75" customHeight="1">
      <c r="A214" s="97"/>
      <c r="B214" s="97"/>
      <c r="C214" s="29" t="s">
        <v>104</v>
      </c>
      <c r="D214" s="81"/>
      <c r="E214" s="81" t="s">
        <v>4</v>
      </c>
      <c r="F214" s="80">
        <v>3</v>
      </c>
      <c r="G214" s="82"/>
      <c r="H214" s="78">
        <v>1</v>
      </c>
      <c r="I214" s="77">
        <v>1</v>
      </c>
      <c r="J214" s="76">
        <f t="shared" si="11"/>
        <v>0</v>
      </c>
      <c r="K214" s="21">
        <f t="shared" si="12"/>
        <v>0</v>
      </c>
      <c r="L214" s="20"/>
      <c r="M214" s="20"/>
      <c r="N214" s="19"/>
    </row>
    <row r="215" spans="1:14" s="42" customFormat="1" ht="22.5" customHeight="1">
      <c r="A215" s="97"/>
      <c r="B215" s="97"/>
      <c r="C215" s="29" t="s">
        <v>103</v>
      </c>
      <c r="D215" s="81"/>
      <c r="E215" s="81" t="s">
        <v>4</v>
      </c>
      <c r="F215" s="80">
        <v>1</v>
      </c>
      <c r="G215" s="82"/>
      <c r="H215" s="78">
        <v>1</v>
      </c>
      <c r="I215" s="77">
        <v>1</v>
      </c>
      <c r="J215" s="76">
        <f t="shared" si="11"/>
        <v>0</v>
      </c>
      <c r="K215" s="21">
        <f t="shared" si="12"/>
        <v>0</v>
      </c>
      <c r="L215" s="20"/>
      <c r="M215" s="20"/>
      <c r="N215" s="19"/>
    </row>
    <row r="216" spans="1:14" s="42" customFormat="1" ht="31.5">
      <c r="A216" s="97"/>
      <c r="B216" s="97"/>
      <c r="C216" s="29" t="s">
        <v>102</v>
      </c>
      <c r="D216" s="81"/>
      <c r="E216" s="81" t="s">
        <v>4</v>
      </c>
      <c r="F216" s="80">
        <v>1</v>
      </c>
      <c r="G216" s="82"/>
      <c r="H216" s="78">
        <v>1</v>
      </c>
      <c r="I216" s="77">
        <v>1</v>
      </c>
      <c r="J216" s="76">
        <f t="shared" si="11"/>
        <v>0</v>
      </c>
      <c r="K216" s="21">
        <f t="shared" si="12"/>
        <v>0</v>
      </c>
      <c r="L216" s="20"/>
      <c r="M216" s="20"/>
      <c r="N216" s="19"/>
    </row>
    <row r="217" spans="1:14" s="42" customFormat="1">
      <c r="A217" s="97"/>
      <c r="B217" s="97"/>
      <c r="C217" s="29" t="s">
        <v>101</v>
      </c>
      <c r="D217" s="81"/>
      <c r="E217" s="81" t="s">
        <v>4</v>
      </c>
      <c r="F217" s="80">
        <v>2</v>
      </c>
      <c r="G217" s="79"/>
      <c r="H217" s="78">
        <v>1</v>
      </c>
      <c r="I217" s="77">
        <v>1</v>
      </c>
      <c r="J217" s="76">
        <f t="shared" si="11"/>
        <v>0</v>
      </c>
      <c r="K217" s="21">
        <f t="shared" si="12"/>
        <v>0</v>
      </c>
      <c r="L217" s="20"/>
      <c r="M217" s="20"/>
      <c r="N217" s="19"/>
    </row>
    <row r="218" spans="1:14" s="42" customFormat="1">
      <c r="A218" s="97"/>
      <c r="B218" s="97"/>
      <c r="C218" s="29" t="s">
        <v>100</v>
      </c>
      <c r="D218" s="81"/>
      <c r="E218" s="81" t="s">
        <v>99</v>
      </c>
      <c r="F218" s="80">
        <v>7</v>
      </c>
      <c r="G218" s="79"/>
      <c r="H218" s="78">
        <v>1</v>
      </c>
      <c r="I218" s="77">
        <v>1</v>
      </c>
      <c r="J218" s="76">
        <f t="shared" si="11"/>
        <v>0</v>
      </c>
      <c r="K218" s="21">
        <f t="shared" si="12"/>
        <v>0</v>
      </c>
      <c r="L218" s="20"/>
      <c r="M218" s="20"/>
      <c r="N218" s="19"/>
    </row>
    <row r="219" spans="1:14" s="42" customFormat="1" ht="25.5" customHeight="1">
      <c r="A219" s="97"/>
      <c r="B219" s="97"/>
      <c r="C219" s="29" t="s">
        <v>98</v>
      </c>
      <c r="D219" s="81"/>
      <c r="E219" s="81" t="s">
        <v>4</v>
      </c>
      <c r="F219" s="80">
        <v>2</v>
      </c>
      <c r="G219" s="79"/>
      <c r="H219" s="78">
        <v>1</v>
      </c>
      <c r="I219" s="77">
        <v>1</v>
      </c>
      <c r="J219" s="76">
        <f t="shared" si="11"/>
        <v>0</v>
      </c>
      <c r="K219" s="21">
        <f t="shared" si="12"/>
        <v>0</v>
      </c>
      <c r="L219" s="20"/>
      <c r="M219" s="20"/>
      <c r="N219" s="19"/>
    </row>
    <row r="220" spans="1:14" ht="31.5" customHeight="1">
      <c r="A220" s="30">
        <v>13</v>
      </c>
      <c r="B220" s="30">
        <v>68</v>
      </c>
      <c r="C220" s="284" t="s">
        <v>97</v>
      </c>
      <c r="D220" s="285"/>
      <c r="E220" s="285"/>
      <c r="F220" s="285"/>
      <c r="G220" s="285"/>
      <c r="H220" s="285"/>
      <c r="I220" s="286"/>
      <c r="J220" s="22"/>
      <c r="K220" s="21"/>
      <c r="L220" s="20"/>
      <c r="M220" s="19"/>
      <c r="N220" s="19"/>
    </row>
    <row r="221" spans="1:14" ht="31.5">
      <c r="A221" s="30"/>
      <c r="B221" s="30"/>
      <c r="C221" s="29" t="s">
        <v>96</v>
      </c>
      <c r="D221" s="28"/>
      <c r="E221" s="27"/>
      <c r="F221" s="26"/>
      <c r="G221" s="25"/>
      <c r="H221" s="24"/>
      <c r="I221" s="23"/>
      <c r="J221" s="22"/>
      <c r="K221" s="21"/>
      <c r="L221" s="20"/>
      <c r="M221" s="19"/>
      <c r="N221" s="19"/>
    </row>
    <row r="222" spans="1:14" ht="47.25">
      <c r="A222" s="30"/>
      <c r="B222" s="30"/>
      <c r="C222" s="29" t="s">
        <v>95</v>
      </c>
      <c r="D222" s="28" t="s">
        <v>45</v>
      </c>
      <c r="E222" s="27" t="s">
        <v>25</v>
      </c>
      <c r="F222" s="96">
        <v>25.787500000000001</v>
      </c>
      <c r="G222" s="25">
        <v>792000</v>
      </c>
      <c r="H222" s="24">
        <v>1</v>
      </c>
      <c r="I222" s="23">
        <v>1.1479999999999999</v>
      </c>
      <c r="J222" s="22">
        <v>23446000</v>
      </c>
      <c r="K222" s="21"/>
      <c r="L222" s="20"/>
      <c r="M222" s="19"/>
      <c r="N222" s="19"/>
    </row>
    <row r="223" spans="1:14" ht="31.5">
      <c r="A223" s="30"/>
      <c r="B223" s="30"/>
      <c r="C223" s="29" t="s">
        <v>94</v>
      </c>
      <c r="D223" s="28"/>
      <c r="E223" s="27"/>
      <c r="F223" s="26"/>
      <c r="G223" s="25"/>
      <c r="H223" s="24"/>
      <c r="I223" s="23"/>
      <c r="J223" s="22"/>
      <c r="K223" s="21"/>
      <c r="L223" s="20"/>
      <c r="M223" s="19"/>
      <c r="N223" s="19"/>
    </row>
    <row r="224" spans="1:14">
      <c r="A224" s="30"/>
      <c r="B224" s="30"/>
      <c r="C224" s="29" t="s">
        <v>93</v>
      </c>
      <c r="D224" s="28"/>
      <c r="E224" s="27"/>
      <c r="F224" s="26"/>
      <c r="G224" s="25"/>
      <c r="H224" s="24"/>
      <c r="I224" s="23"/>
      <c r="J224" s="22"/>
      <c r="K224" s="21"/>
      <c r="L224" s="20"/>
      <c r="M224" s="19"/>
      <c r="N224" s="19"/>
    </row>
    <row r="225" spans="1:14" ht="31.5">
      <c r="A225" s="30"/>
      <c r="B225" s="30"/>
      <c r="C225" s="29" t="s">
        <v>92</v>
      </c>
      <c r="D225" s="28"/>
      <c r="E225" s="27"/>
      <c r="F225" s="26"/>
      <c r="G225" s="25"/>
      <c r="H225" s="24"/>
      <c r="I225" s="23"/>
      <c r="J225" s="22"/>
      <c r="K225" s="21"/>
      <c r="L225" s="20"/>
      <c r="M225" s="19"/>
      <c r="N225" s="19"/>
    </row>
    <row r="226" spans="1:14" ht="31.5">
      <c r="A226" s="30"/>
      <c r="B226" s="30"/>
      <c r="C226" s="29" t="s">
        <v>91</v>
      </c>
      <c r="D226" s="28"/>
      <c r="E226" s="27"/>
      <c r="F226" s="26"/>
      <c r="G226" s="25"/>
      <c r="H226" s="24"/>
      <c r="I226" s="23"/>
      <c r="J226" s="22"/>
      <c r="K226" s="21"/>
      <c r="L226" s="20"/>
      <c r="M226" s="19"/>
      <c r="N226" s="19"/>
    </row>
    <row r="227" spans="1:14">
      <c r="A227" s="30"/>
      <c r="B227" s="30"/>
      <c r="C227" s="29" t="s">
        <v>90</v>
      </c>
      <c r="D227" s="28"/>
      <c r="E227" s="27"/>
      <c r="F227" s="26"/>
      <c r="G227" s="25"/>
      <c r="H227" s="24"/>
      <c r="I227" s="23"/>
      <c r="J227" s="22"/>
      <c r="K227" s="21"/>
      <c r="L227" s="20"/>
      <c r="M227" s="19"/>
      <c r="N227" s="19"/>
    </row>
    <row r="228" spans="1:14">
      <c r="A228" s="30"/>
      <c r="B228" s="30"/>
      <c r="C228" s="29" t="s">
        <v>89</v>
      </c>
      <c r="D228" s="28"/>
      <c r="E228" s="27"/>
      <c r="F228" s="26"/>
      <c r="G228" s="25"/>
      <c r="H228" s="24"/>
      <c r="I228" s="23"/>
      <c r="J228" s="22"/>
      <c r="K228" s="21"/>
      <c r="L228" s="20"/>
      <c r="M228" s="19"/>
      <c r="N228" s="19"/>
    </row>
    <row r="229" spans="1:14">
      <c r="A229" s="30"/>
      <c r="B229" s="30"/>
      <c r="C229" s="29" t="s">
        <v>88</v>
      </c>
      <c r="D229" s="28"/>
      <c r="E229" s="27"/>
      <c r="F229" s="26"/>
      <c r="G229" s="25"/>
      <c r="H229" s="24"/>
      <c r="I229" s="23"/>
      <c r="J229" s="22"/>
      <c r="K229" s="21"/>
      <c r="L229" s="20"/>
      <c r="M229" s="19"/>
      <c r="N229" s="19"/>
    </row>
    <row r="230" spans="1:14" ht="31.5">
      <c r="A230" s="30"/>
      <c r="B230" s="30"/>
      <c r="C230" s="29" t="s">
        <v>87</v>
      </c>
      <c r="D230" s="28"/>
      <c r="E230" s="27"/>
      <c r="F230" s="26"/>
      <c r="G230" s="25"/>
      <c r="H230" s="24"/>
      <c r="I230" s="23"/>
      <c r="J230" s="22"/>
      <c r="K230" s="21"/>
      <c r="L230" s="20"/>
      <c r="M230" s="19"/>
      <c r="N230" s="19"/>
    </row>
    <row r="231" spans="1:14">
      <c r="A231" s="30"/>
      <c r="B231" s="30"/>
      <c r="C231" s="29" t="s">
        <v>86</v>
      </c>
      <c r="D231" s="28"/>
      <c r="E231" s="27"/>
      <c r="F231" s="26"/>
      <c r="G231" s="25"/>
      <c r="H231" s="24"/>
      <c r="I231" s="23"/>
      <c r="J231" s="22"/>
      <c r="K231" s="21"/>
      <c r="L231" s="20"/>
      <c r="M231" s="19"/>
      <c r="N231" s="19"/>
    </row>
    <row r="232" spans="1:14" ht="31.5" customHeight="1">
      <c r="A232" s="30">
        <v>14</v>
      </c>
      <c r="B232" s="30">
        <v>111</v>
      </c>
      <c r="C232" s="292" t="s">
        <v>85</v>
      </c>
      <c r="D232" s="293"/>
      <c r="E232" s="293"/>
      <c r="F232" s="293"/>
      <c r="G232" s="293"/>
      <c r="H232" s="293"/>
      <c r="I232" s="294"/>
      <c r="J232" s="95">
        <f>SUM(J233:J237)</f>
        <v>3601000</v>
      </c>
      <c r="K232" s="21"/>
      <c r="L232" s="20"/>
      <c r="M232" s="19"/>
      <c r="N232" s="19"/>
    </row>
    <row r="233" spans="1:14" ht="31.5">
      <c r="A233" s="30"/>
      <c r="B233" s="30"/>
      <c r="C233" s="29" t="s">
        <v>84</v>
      </c>
      <c r="D233" s="81" t="s">
        <v>5</v>
      </c>
      <c r="E233" s="81" t="s">
        <v>4</v>
      </c>
      <c r="F233" s="26">
        <v>60</v>
      </c>
      <c r="G233" s="82">
        <v>26730</v>
      </c>
      <c r="H233" s="78">
        <v>1</v>
      </c>
      <c r="I233" s="77">
        <v>1</v>
      </c>
      <c r="J233" s="76">
        <f>ROUND(F233*G233*H233*I233,-3)</f>
        <v>1604000</v>
      </c>
      <c r="K233" s="21"/>
      <c r="L233" s="20"/>
      <c r="M233" s="19"/>
      <c r="N233" s="19"/>
    </row>
    <row r="234" spans="1:14" ht="31.5">
      <c r="A234" s="30"/>
      <c r="B234" s="30"/>
      <c r="C234" s="29" t="s">
        <v>83</v>
      </c>
      <c r="D234" s="81" t="s">
        <v>5</v>
      </c>
      <c r="E234" s="81" t="s">
        <v>4</v>
      </c>
      <c r="F234" s="26">
        <v>45</v>
      </c>
      <c r="G234" s="82">
        <v>7030</v>
      </c>
      <c r="H234" s="78">
        <v>1</v>
      </c>
      <c r="I234" s="77">
        <v>1</v>
      </c>
      <c r="J234" s="76">
        <f>ROUND(F234*G234*H234*I234,-3)</f>
        <v>316000</v>
      </c>
      <c r="K234" s="21"/>
      <c r="L234" s="20"/>
      <c r="M234" s="19"/>
      <c r="N234" s="19"/>
    </row>
    <row r="235" spans="1:14" ht="31.5">
      <c r="A235" s="30"/>
      <c r="B235" s="30"/>
      <c r="C235" s="29" t="s">
        <v>82</v>
      </c>
      <c r="D235" s="81" t="s">
        <v>32</v>
      </c>
      <c r="E235" s="83" t="s">
        <v>4</v>
      </c>
      <c r="F235" s="26">
        <v>205</v>
      </c>
      <c r="G235" s="82">
        <v>8200</v>
      </c>
      <c r="H235" s="78">
        <v>1</v>
      </c>
      <c r="I235" s="87">
        <v>1</v>
      </c>
      <c r="J235" s="76">
        <f>ROUND(F235*G235*H235*I235,-3)</f>
        <v>1681000</v>
      </c>
      <c r="K235" s="21"/>
      <c r="L235" s="20"/>
      <c r="M235" s="19"/>
      <c r="N235" s="19"/>
    </row>
    <row r="236" spans="1:14">
      <c r="A236" s="30"/>
      <c r="B236" s="30"/>
      <c r="C236" s="29" t="s">
        <v>81</v>
      </c>
      <c r="D236" s="28"/>
      <c r="E236" s="27"/>
      <c r="F236" s="26"/>
      <c r="G236" s="25"/>
      <c r="H236" s="78">
        <v>1</v>
      </c>
      <c r="I236" s="87">
        <v>1</v>
      </c>
      <c r="J236" s="76">
        <f>ROUND(F236*G236*H236*I236,-3)</f>
        <v>0</v>
      </c>
      <c r="K236" s="21"/>
      <c r="L236" s="20"/>
      <c r="M236" s="19"/>
      <c r="N236" s="19"/>
    </row>
    <row r="237" spans="1:14">
      <c r="A237" s="30"/>
      <c r="B237" s="30"/>
      <c r="C237" s="29" t="s">
        <v>80</v>
      </c>
      <c r="D237" s="28"/>
      <c r="E237" s="27"/>
      <c r="F237" s="26"/>
      <c r="G237" s="25"/>
      <c r="H237" s="78">
        <v>1</v>
      </c>
      <c r="I237" s="87">
        <v>1</v>
      </c>
      <c r="J237" s="76">
        <f>ROUND(F237*G237*H237*I237,-3)</f>
        <v>0</v>
      </c>
      <c r="K237" s="21"/>
      <c r="L237" s="20"/>
      <c r="M237" s="19"/>
      <c r="N237" s="19"/>
    </row>
    <row r="238" spans="1:14" s="42" customFormat="1" ht="40.5" customHeight="1">
      <c r="A238" s="30">
        <v>15</v>
      </c>
      <c r="B238" s="30">
        <v>62</v>
      </c>
      <c r="C238" s="283" t="s">
        <v>79</v>
      </c>
      <c r="D238" s="283"/>
      <c r="E238" s="283"/>
      <c r="F238" s="283"/>
      <c r="G238" s="283"/>
      <c r="H238" s="283"/>
      <c r="I238" s="30"/>
      <c r="J238" s="75">
        <f>SUM(J239:J243)</f>
        <v>40165000</v>
      </c>
      <c r="K238" s="21">
        <f>ROUND(F238*G238*H238*I238,-3)</f>
        <v>0</v>
      </c>
      <c r="L238" s="20"/>
      <c r="M238" s="19"/>
      <c r="N238" s="19"/>
    </row>
    <row r="239" spans="1:14" s="42" customFormat="1" ht="47.25">
      <c r="A239" s="30"/>
      <c r="B239" s="30"/>
      <c r="C239" s="49" t="s">
        <v>78</v>
      </c>
      <c r="D239" s="28" t="s">
        <v>19</v>
      </c>
      <c r="E239" s="27" t="s">
        <v>25</v>
      </c>
      <c r="F239" s="26">
        <f>6.2*5.6</f>
        <v>34.72</v>
      </c>
      <c r="G239" s="25">
        <v>453000</v>
      </c>
      <c r="H239" s="24">
        <v>1</v>
      </c>
      <c r="I239" s="84">
        <v>1.1479999999999999</v>
      </c>
      <c r="J239" s="22">
        <f>ROUND(F239*G239*H239*I239,-3)</f>
        <v>18056000</v>
      </c>
      <c r="K239" s="21"/>
      <c r="L239" s="20"/>
      <c r="M239" s="19"/>
      <c r="N239" s="19"/>
    </row>
    <row r="240" spans="1:14" s="42" customFormat="1" ht="47.25">
      <c r="A240" s="30"/>
      <c r="B240" s="30"/>
      <c r="C240" s="49" t="s">
        <v>77</v>
      </c>
      <c r="D240" s="94" t="s">
        <v>17</v>
      </c>
      <c r="E240" s="93" t="s">
        <v>25</v>
      </c>
      <c r="F240" s="92">
        <f>4.9*5.4</f>
        <v>26.460000000000004</v>
      </c>
      <c r="G240" s="91">
        <v>215000</v>
      </c>
      <c r="H240" s="90">
        <v>1</v>
      </c>
      <c r="I240" s="89">
        <v>1.1479999999999999</v>
      </c>
      <c r="J240" s="88">
        <f>ROUND(F240*G240*H240*I240,-3)</f>
        <v>6531000</v>
      </c>
      <c r="K240" s="21"/>
      <c r="L240" s="20"/>
      <c r="M240" s="19"/>
      <c r="N240" s="19"/>
    </row>
    <row r="241" spans="1:14" s="42" customFormat="1" ht="47.25">
      <c r="A241" s="30"/>
      <c r="B241" s="30"/>
      <c r="C241" s="49" t="s">
        <v>76</v>
      </c>
      <c r="D241" s="94" t="s">
        <v>75</v>
      </c>
      <c r="E241" s="93" t="s">
        <v>25</v>
      </c>
      <c r="F241" s="92">
        <f>4.2*1.6*2</f>
        <v>13.440000000000001</v>
      </c>
      <c r="G241" s="91">
        <v>156000</v>
      </c>
      <c r="H241" s="90">
        <v>1</v>
      </c>
      <c r="I241" s="89">
        <v>1.1479999999999999</v>
      </c>
      <c r="J241" s="88">
        <f>ROUND(F241*G241*H241*I241,-3)</f>
        <v>2407000</v>
      </c>
      <c r="K241" s="21"/>
      <c r="L241" s="20"/>
      <c r="M241" s="19"/>
      <c r="N241" s="19"/>
    </row>
    <row r="242" spans="1:14" s="42" customFormat="1" ht="47.25">
      <c r="A242" s="30"/>
      <c r="B242" s="30"/>
      <c r="C242" s="49" t="s">
        <v>74</v>
      </c>
      <c r="D242" s="51" t="s">
        <v>45</v>
      </c>
      <c r="E242" s="27" t="s">
        <v>25</v>
      </c>
      <c r="F242" s="50">
        <f>22*0.3</f>
        <v>6.6</v>
      </c>
      <c r="G242" s="25">
        <v>792000</v>
      </c>
      <c r="H242" s="24">
        <v>1</v>
      </c>
      <c r="I242" s="44">
        <v>1.1479999999999999</v>
      </c>
      <c r="J242" s="22">
        <f>ROUND(F242*G242*H242*I242,-3)</f>
        <v>6001000</v>
      </c>
      <c r="K242" s="21"/>
      <c r="L242" s="20"/>
      <c r="M242" s="19"/>
      <c r="N242" s="19"/>
    </row>
    <row r="243" spans="1:14" s="42" customFormat="1" ht="63">
      <c r="A243" s="30"/>
      <c r="B243" s="30"/>
      <c r="C243" s="49" t="s">
        <v>73</v>
      </c>
      <c r="D243" s="51" t="s">
        <v>14</v>
      </c>
      <c r="E243" s="27" t="s">
        <v>2</v>
      </c>
      <c r="F243" s="50">
        <f>6*0.2*2+5*1*0.2</f>
        <v>3.4000000000000004</v>
      </c>
      <c r="G243" s="63">
        <v>1837000</v>
      </c>
      <c r="H243" s="24">
        <v>1</v>
      </c>
      <c r="I243" s="44">
        <v>1.1479999999999999</v>
      </c>
      <c r="J243" s="22">
        <f>ROUND(F243*G243*H243*I243,-3)</f>
        <v>7170000</v>
      </c>
      <c r="K243" s="21"/>
      <c r="L243" s="20"/>
      <c r="M243" s="19"/>
      <c r="N243" s="19"/>
    </row>
    <row r="244" spans="1:14" s="42" customFormat="1" ht="40.5" customHeight="1">
      <c r="A244" s="30">
        <v>16</v>
      </c>
      <c r="B244" s="30">
        <v>59</v>
      </c>
      <c r="C244" s="283" t="s">
        <v>72</v>
      </c>
      <c r="D244" s="283"/>
      <c r="E244" s="283"/>
      <c r="F244" s="283"/>
      <c r="G244" s="283"/>
      <c r="H244" s="283"/>
      <c r="I244" s="30"/>
      <c r="J244" s="75">
        <f>SUM(J245:J247)</f>
        <v>48700000</v>
      </c>
      <c r="K244" s="21">
        <f>ROUND(F244*G244*H244*I244,-3)</f>
        <v>0</v>
      </c>
      <c r="L244" s="20"/>
      <c r="M244" s="19"/>
      <c r="N244" s="19"/>
    </row>
    <row r="245" spans="1:14" s="42" customFormat="1" ht="47.25">
      <c r="A245" s="30"/>
      <c r="B245" s="30"/>
      <c r="C245" s="49" t="s">
        <v>71</v>
      </c>
      <c r="D245" s="28" t="s">
        <v>19</v>
      </c>
      <c r="E245" s="27" t="s">
        <v>25</v>
      </c>
      <c r="F245" s="26">
        <f>2.4*5</f>
        <v>12</v>
      </c>
      <c r="G245" s="25">
        <v>453000</v>
      </c>
      <c r="H245" s="24">
        <v>1</v>
      </c>
      <c r="I245" s="84">
        <v>1.1479999999999999</v>
      </c>
      <c r="J245" s="22">
        <f>ROUND(F245*G245*H245*I245,-3)</f>
        <v>6241000</v>
      </c>
      <c r="K245" s="21"/>
      <c r="L245" s="20"/>
      <c r="M245" s="19"/>
      <c r="N245" s="19"/>
    </row>
    <row r="246" spans="1:14" s="42" customFormat="1" ht="47.25">
      <c r="A246" s="30"/>
      <c r="B246" s="30"/>
      <c r="C246" s="49" t="s">
        <v>70</v>
      </c>
      <c r="D246" s="48" t="s">
        <v>8</v>
      </c>
      <c r="E246" s="47" t="s">
        <v>7</v>
      </c>
      <c r="F246" s="26">
        <f>5*0.8</f>
        <v>4</v>
      </c>
      <c r="G246" s="46">
        <v>11000</v>
      </c>
      <c r="H246" s="45">
        <v>1</v>
      </c>
      <c r="I246" s="84">
        <v>1.1479999999999999</v>
      </c>
      <c r="J246" s="43">
        <f>ROUND((F246*G246*H246*I246),-3)</f>
        <v>51000</v>
      </c>
      <c r="K246" s="21">
        <f>ROUND(F246*G246*H246*I246,-3)</f>
        <v>51000</v>
      </c>
      <c r="L246" s="20"/>
      <c r="M246" s="19"/>
      <c r="N246" s="19"/>
    </row>
    <row r="247" spans="1:14" s="42" customFormat="1" ht="47.25">
      <c r="A247" s="30"/>
      <c r="B247" s="30"/>
      <c r="C247" s="52" t="s">
        <v>69</v>
      </c>
      <c r="D247" s="51" t="s">
        <v>10</v>
      </c>
      <c r="E247" s="27" t="s">
        <v>2</v>
      </c>
      <c r="F247" s="50">
        <f>1.7*5*2</f>
        <v>17</v>
      </c>
      <c r="G247" s="25">
        <v>2173000</v>
      </c>
      <c r="H247" s="24">
        <v>1</v>
      </c>
      <c r="I247" s="44">
        <v>1.1479999999999999</v>
      </c>
      <c r="J247" s="22">
        <f>ROUND(F247*G247*H247*I247,-3)</f>
        <v>42408000</v>
      </c>
      <c r="K247" s="21"/>
      <c r="L247" s="20"/>
      <c r="M247" s="19"/>
      <c r="N247" s="19"/>
    </row>
    <row r="248" spans="1:14" s="42" customFormat="1" ht="40.5" customHeight="1">
      <c r="A248" s="30">
        <v>17</v>
      </c>
      <c r="B248" s="30">
        <v>49.5</v>
      </c>
      <c r="C248" s="283" t="s">
        <v>68</v>
      </c>
      <c r="D248" s="283"/>
      <c r="E248" s="283"/>
      <c r="F248" s="283"/>
      <c r="G248" s="283"/>
      <c r="H248" s="283"/>
      <c r="I248" s="30"/>
      <c r="J248" s="75">
        <f>SUM(J249:J254)</f>
        <v>11401000</v>
      </c>
      <c r="K248" s="21">
        <f>ROUND(F248*G248*H248*I248,-3)</f>
        <v>0</v>
      </c>
      <c r="L248" s="20"/>
      <c r="M248" s="19"/>
      <c r="N248" s="19"/>
    </row>
    <row r="249" spans="1:14" s="42" customFormat="1" ht="47.25">
      <c r="A249" s="30"/>
      <c r="B249" s="30"/>
      <c r="C249" s="49" t="s">
        <v>67</v>
      </c>
      <c r="D249" s="28" t="s">
        <v>19</v>
      </c>
      <c r="E249" s="27" t="s">
        <v>25</v>
      </c>
      <c r="F249" s="26">
        <f>6.8*1.2</f>
        <v>8.16</v>
      </c>
      <c r="G249" s="25">
        <v>453000</v>
      </c>
      <c r="H249" s="24">
        <v>1</v>
      </c>
      <c r="I249" s="84">
        <v>1.1479999999999999</v>
      </c>
      <c r="J249" s="22">
        <f t="shared" ref="J249:J254" si="13">ROUND(F249*G249*H249*I249,-3)</f>
        <v>4244000</v>
      </c>
      <c r="K249" s="21"/>
      <c r="L249" s="20"/>
      <c r="M249" s="19"/>
      <c r="N249" s="19"/>
    </row>
    <row r="250" spans="1:14" s="42" customFormat="1" ht="63">
      <c r="A250" s="30"/>
      <c r="B250" s="30"/>
      <c r="C250" s="49" t="s">
        <v>66</v>
      </c>
      <c r="D250" s="28" t="s">
        <v>43</v>
      </c>
      <c r="E250" s="27" t="s">
        <v>2</v>
      </c>
      <c r="F250" s="26">
        <f>4.3*0.3*0.2+6.8*0.5*0.3</f>
        <v>1.278</v>
      </c>
      <c r="G250" s="25">
        <v>2828000</v>
      </c>
      <c r="H250" s="85">
        <v>1</v>
      </c>
      <c r="I250" s="84">
        <v>1.1479999999999999</v>
      </c>
      <c r="J250" s="22">
        <f t="shared" si="13"/>
        <v>4149000</v>
      </c>
      <c r="K250" s="21"/>
      <c r="L250" s="20"/>
      <c r="M250" s="19"/>
      <c r="N250" s="19"/>
    </row>
    <row r="251" spans="1:14" s="42" customFormat="1" ht="47.25">
      <c r="A251" s="30"/>
      <c r="B251" s="30"/>
      <c r="C251" s="49" t="s">
        <v>65</v>
      </c>
      <c r="D251" s="28" t="s">
        <v>64</v>
      </c>
      <c r="E251" s="27" t="s">
        <v>25</v>
      </c>
      <c r="F251" s="26">
        <f>4.3*0.3+6.8*0.5</f>
        <v>4.6899999999999995</v>
      </c>
      <c r="G251" s="25">
        <v>339000</v>
      </c>
      <c r="H251" s="85">
        <v>1</v>
      </c>
      <c r="I251" s="83">
        <v>1.1479999999999999</v>
      </c>
      <c r="J251" s="22">
        <f t="shared" si="13"/>
        <v>1825000</v>
      </c>
      <c r="K251" s="21"/>
      <c r="L251" s="20"/>
      <c r="M251" s="19"/>
      <c r="N251" s="19"/>
    </row>
    <row r="252" spans="1:14" s="42" customFormat="1" ht="31.5">
      <c r="A252" s="30"/>
      <c r="B252" s="30"/>
      <c r="C252" s="49" t="s">
        <v>63</v>
      </c>
      <c r="D252" s="81" t="s">
        <v>61</v>
      </c>
      <c r="E252" s="81" t="s">
        <v>4</v>
      </c>
      <c r="F252" s="80">
        <v>1</v>
      </c>
      <c r="G252" s="79">
        <v>53260</v>
      </c>
      <c r="H252" s="78">
        <v>1</v>
      </c>
      <c r="I252" s="77">
        <v>1</v>
      </c>
      <c r="J252" s="76">
        <f t="shared" si="13"/>
        <v>53000</v>
      </c>
      <c r="K252" s="21"/>
      <c r="L252" s="20"/>
      <c r="M252" s="19"/>
      <c r="N252" s="19"/>
    </row>
    <row r="253" spans="1:14" s="42" customFormat="1" ht="31.5">
      <c r="A253" s="30"/>
      <c r="B253" s="30"/>
      <c r="C253" s="49" t="s">
        <v>62</v>
      </c>
      <c r="D253" s="81" t="s">
        <v>61</v>
      </c>
      <c r="E253" s="81" t="s">
        <v>25</v>
      </c>
      <c r="F253" s="26">
        <f>0.2*2.4</f>
        <v>0.48</v>
      </c>
      <c r="G253" s="82">
        <v>10650</v>
      </c>
      <c r="H253" s="78">
        <v>1</v>
      </c>
      <c r="I253" s="77">
        <v>1</v>
      </c>
      <c r="J253" s="76">
        <f t="shared" si="13"/>
        <v>5000</v>
      </c>
      <c r="K253" s="21"/>
      <c r="L253" s="20"/>
      <c r="M253" s="19"/>
      <c r="N253" s="19"/>
    </row>
    <row r="254" spans="1:14" s="42" customFormat="1" ht="47.25">
      <c r="A254" s="30"/>
      <c r="B254" s="30"/>
      <c r="C254" s="49" t="s">
        <v>60</v>
      </c>
      <c r="D254" s="28" t="s">
        <v>59</v>
      </c>
      <c r="E254" s="27" t="s">
        <v>58</v>
      </c>
      <c r="F254" s="26">
        <v>35</v>
      </c>
      <c r="G254" s="25">
        <v>28000</v>
      </c>
      <c r="H254" s="85">
        <v>1</v>
      </c>
      <c r="I254" s="83">
        <v>1.1479999999999999</v>
      </c>
      <c r="J254" s="22">
        <f t="shared" si="13"/>
        <v>1125000</v>
      </c>
      <c r="K254" s="21"/>
      <c r="L254" s="20"/>
      <c r="M254" s="19"/>
      <c r="N254" s="19"/>
    </row>
    <row r="255" spans="1:14" s="42" customFormat="1" ht="40.5" customHeight="1">
      <c r="A255" s="30">
        <v>18</v>
      </c>
      <c r="B255" s="30">
        <v>52</v>
      </c>
      <c r="C255" s="283" t="s">
        <v>57</v>
      </c>
      <c r="D255" s="283"/>
      <c r="E255" s="283"/>
      <c r="F255" s="283"/>
      <c r="G255" s="283"/>
      <c r="H255" s="283"/>
      <c r="I255" s="30"/>
      <c r="J255" s="75">
        <f>SUM(J256:J261)</f>
        <v>3329000</v>
      </c>
      <c r="K255" s="21">
        <f>ROUND(F255*G255*H255*I255,-3)</f>
        <v>0</v>
      </c>
      <c r="L255" s="20"/>
      <c r="M255" s="19"/>
      <c r="N255" s="19"/>
    </row>
    <row r="256" spans="1:14" s="42" customFormat="1" ht="63">
      <c r="A256" s="30"/>
      <c r="B256" s="30"/>
      <c r="C256" s="49" t="s">
        <v>56</v>
      </c>
      <c r="D256" s="51" t="s">
        <v>55</v>
      </c>
      <c r="E256" s="27" t="s">
        <v>25</v>
      </c>
      <c r="F256" s="50">
        <f>1.8*1.1</f>
        <v>1.9800000000000002</v>
      </c>
      <c r="G256" s="25">
        <v>566000</v>
      </c>
      <c r="H256" s="24">
        <v>1</v>
      </c>
      <c r="I256" s="44">
        <v>1.1479999999999999</v>
      </c>
      <c r="J256" s="22">
        <f>ROUND(F256*G256*H256*I256,-3)</f>
        <v>1287000</v>
      </c>
      <c r="K256" s="21"/>
      <c r="L256" s="20"/>
      <c r="M256" s="19"/>
      <c r="N256" s="19"/>
    </row>
    <row r="257" spans="1:14" s="42" customFormat="1" ht="47.25">
      <c r="A257" s="30"/>
      <c r="B257" s="30"/>
      <c r="C257" s="49" t="s">
        <v>54</v>
      </c>
      <c r="D257" s="48" t="s">
        <v>8</v>
      </c>
      <c r="E257" s="47" t="s">
        <v>7</v>
      </c>
      <c r="F257" s="26">
        <f>15.6*1.8</f>
        <v>28.08</v>
      </c>
      <c r="G257" s="46">
        <v>11000</v>
      </c>
      <c r="H257" s="45">
        <v>1</v>
      </c>
      <c r="I257" s="84">
        <v>1.1479999999999999</v>
      </c>
      <c r="J257" s="43">
        <f>ROUND((F257*G257*H257*I257),-3)</f>
        <v>355000</v>
      </c>
      <c r="K257" s="21">
        <f>ROUND(F257*G257*H257*I257,-3)</f>
        <v>355000</v>
      </c>
      <c r="L257" s="20"/>
      <c r="M257" s="19"/>
      <c r="N257" s="19"/>
    </row>
    <row r="258" spans="1:14" s="42" customFormat="1" ht="63">
      <c r="A258" s="30"/>
      <c r="B258" s="30"/>
      <c r="C258" s="49" t="s">
        <v>53</v>
      </c>
      <c r="D258" s="51" t="s">
        <v>43</v>
      </c>
      <c r="E258" s="27" t="s">
        <v>2</v>
      </c>
      <c r="F258" s="50">
        <f>0.1*0.1*2.2*5</f>
        <v>0.11000000000000003</v>
      </c>
      <c r="G258" s="25">
        <v>2828000</v>
      </c>
      <c r="H258" s="24">
        <v>1</v>
      </c>
      <c r="I258" s="44">
        <v>1.1479999999999999</v>
      </c>
      <c r="J258" s="22">
        <f>ROUND(F258*G258*H258*I258,-3)</f>
        <v>357000</v>
      </c>
      <c r="K258" s="21"/>
      <c r="L258" s="20"/>
      <c r="M258" s="19"/>
      <c r="N258" s="19"/>
    </row>
    <row r="259" spans="1:14" s="42" customFormat="1" ht="31.5">
      <c r="A259" s="30"/>
      <c r="B259" s="30"/>
      <c r="C259" s="49" t="s">
        <v>52</v>
      </c>
      <c r="D259" s="81" t="s">
        <v>32</v>
      </c>
      <c r="E259" s="83" t="s">
        <v>4</v>
      </c>
      <c r="F259" s="26">
        <v>65</v>
      </c>
      <c r="G259" s="82">
        <v>8200</v>
      </c>
      <c r="H259" s="78">
        <v>1</v>
      </c>
      <c r="I259" s="87">
        <v>1</v>
      </c>
      <c r="J259" s="76">
        <f>ROUND(F259*G259*H259*I259,-3)</f>
        <v>533000</v>
      </c>
      <c r="K259" s="21"/>
      <c r="L259" s="20"/>
      <c r="M259" s="19"/>
      <c r="N259" s="19"/>
    </row>
    <row r="260" spans="1:14" s="42" customFormat="1" ht="31.5">
      <c r="A260" s="30"/>
      <c r="B260" s="30"/>
      <c r="C260" s="49" t="s">
        <v>51</v>
      </c>
      <c r="D260" s="81" t="s">
        <v>5</v>
      </c>
      <c r="E260" s="81" t="s">
        <v>4</v>
      </c>
      <c r="F260" s="26">
        <v>28</v>
      </c>
      <c r="G260" s="82">
        <v>26730</v>
      </c>
      <c r="H260" s="78">
        <v>1</v>
      </c>
      <c r="I260" s="77">
        <v>1</v>
      </c>
      <c r="J260" s="76">
        <f>ROUND(F260*G260*H260*I260,-3)</f>
        <v>748000</v>
      </c>
      <c r="K260" s="21"/>
      <c r="L260" s="20"/>
      <c r="M260" s="19"/>
      <c r="N260" s="19"/>
    </row>
    <row r="261" spans="1:14" s="42" customFormat="1" ht="31.5">
      <c r="A261" s="30"/>
      <c r="B261" s="30"/>
      <c r="C261" s="49" t="s">
        <v>50</v>
      </c>
      <c r="D261" s="81" t="s">
        <v>5</v>
      </c>
      <c r="E261" s="81" t="s">
        <v>4</v>
      </c>
      <c r="F261" s="26">
        <v>7</v>
      </c>
      <c r="G261" s="82">
        <v>7030</v>
      </c>
      <c r="H261" s="78">
        <v>1</v>
      </c>
      <c r="I261" s="77">
        <v>1</v>
      </c>
      <c r="J261" s="76">
        <f>ROUND(F261*G261*H261*I261,-3)</f>
        <v>49000</v>
      </c>
      <c r="K261" s="21"/>
      <c r="L261" s="20"/>
      <c r="M261" s="19"/>
      <c r="N261" s="19"/>
    </row>
    <row r="262" spans="1:14" s="42" customFormat="1" ht="40.5" customHeight="1">
      <c r="A262" s="30">
        <v>19</v>
      </c>
      <c r="B262" s="30">
        <v>53</v>
      </c>
      <c r="C262" s="283" t="s">
        <v>49</v>
      </c>
      <c r="D262" s="283"/>
      <c r="E262" s="283"/>
      <c r="F262" s="283"/>
      <c r="G262" s="283"/>
      <c r="H262" s="283"/>
      <c r="I262" s="30"/>
      <c r="J262" s="75">
        <f>SUM(J263:J266)</f>
        <v>22083000</v>
      </c>
      <c r="K262" s="21">
        <f>ROUND(F262*G262*H262*I262,-3)</f>
        <v>0</v>
      </c>
      <c r="L262" s="20"/>
      <c r="M262" s="19"/>
      <c r="N262" s="19"/>
    </row>
    <row r="263" spans="1:14" s="42" customFormat="1" ht="31.5">
      <c r="A263" s="30"/>
      <c r="B263" s="30"/>
      <c r="C263" s="49" t="s">
        <v>48</v>
      </c>
      <c r="D263" s="81" t="s">
        <v>32</v>
      </c>
      <c r="E263" s="83" t="s">
        <v>4</v>
      </c>
      <c r="F263" s="26">
        <v>95</v>
      </c>
      <c r="G263" s="82">
        <v>8200</v>
      </c>
      <c r="H263" s="78">
        <v>1</v>
      </c>
      <c r="I263" s="87">
        <v>1</v>
      </c>
      <c r="J263" s="76">
        <f>ROUND(F263*G263*H263*I263,-3)</f>
        <v>779000</v>
      </c>
      <c r="K263" s="21"/>
      <c r="L263" s="20"/>
      <c r="M263" s="19"/>
      <c r="N263" s="19"/>
    </row>
    <row r="264" spans="1:14" s="42" customFormat="1" ht="31.5">
      <c r="A264" s="30"/>
      <c r="B264" s="30"/>
      <c r="C264" s="49" t="s">
        <v>47</v>
      </c>
      <c r="D264" s="81" t="s">
        <v>28</v>
      </c>
      <c r="E264" s="81" t="s">
        <v>4</v>
      </c>
      <c r="F264" s="26">
        <v>1</v>
      </c>
      <c r="G264" s="82">
        <v>641190</v>
      </c>
      <c r="H264" s="45">
        <v>1</v>
      </c>
      <c r="I264" s="26">
        <v>1</v>
      </c>
      <c r="J264" s="43">
        <f>ROUND((F264*G264*H264*I264),-3)</f>
        <v>641000</v>
      </c>
      <c r="K264" s="21"/>
      <c r="L264" s="20"/>
      <c r="M264" s="19"/>
      <c r="N264" s="19"/>
    </row>
    <row r="265" spans="1:14" s="42" customFormat="1" ht="47.25">
      <c r="A265" s="30"/>
      <c r="B265" s="30"/>
      <c r="C265" s="49" t="s">
        <v>46</v>
      </c>
      <c r="D265" s="28" t="s">
        <v>45</v>
      </c>
      <c r="E265" s="27" t="s">
        <v>25</v>
      </c>
      <c r="F265" s="26">
        <f>0.7*12.8+17.6*0.7</f>
        <v>21.28</v>
      </c>
      <c r="G265" s="25">
        <v>792000</v>
      </c>
      <c r="H265" s="86">
        <v>1</v>
      </c>
      <c r="I265" s="44">
        <v>1.1479999999999999</v>
      </c>
      <c r="J265" s="22">
        <f>ROUND(F265*G265*H265*I265,-3)</f>
        <v>19348000</v>
      </c>
      <c r="K265" s="21"/>
      <c r="L265" s="20"/>
      <c r="M265" s="19"/>
      <c r="N265" s="19"/>
    </row>
    <row r="266" spans="1:14" s="42" customFormat="1" ht="63">
      <c r="A266" s="30"/>
      <c r="B266" s="30"/>
      <c r="C266" s="49" t="s">
        <v>44</v>
      </c>
      <c r="D266" s="28" t="s">
        <v>43</v>
      </c>
      <c r="E266" s="27" t="s">
        <v>2</v>
      </c>
      <c r="F266" s="26">
        <f>2*0.15*0.15*9</f>
        <v>0.40499999999999997</v>
      </c>
      <c r="G266" s="25">
        <v>2828000</v>
      </c>
      <c r="H266" s="85">
        <v>1</v>
      </c>
      <c r="I266" s="84">
        <v>1.1479999999999999</v>
      </c>
      <c r="J266" s="22">
        <f>ROUND(F266*G266*H266*I266,-3)</f>
        <v>1315000</v>
      </c>
      <c r="K266" s="21"/>
      <c r="L266" s="20"/>
      <c r="M266" s="19"/>
      <c r="N266" s="19"/>
    </row>
    <row r="267" spans="1:14" ht="47.25" customHeight="1">
      <c r="A267" s="30">
        <v>20</v>
      </c>
      <c r="B267" s="30">
        <v>65</v>
      </c>
      <c r="C267" s="284" t="s">
        <v>42</v>
      </c>
      <c r="D267" s="285"/>
      <c r="E267" s="285"/>
      <c r="F267" s="285"/>
      <c r="G267" s="285"/>
      <c r="H267" s="285"/>
      <c r="I267" s="286"/>
      <c r="J267" s="22"/>
      <c r="K267" s="21"/>
      <c r="L267" s="20"/>
      <c r="M267" s="19"/>
      <c r="N267" s="19"/>
    </row>
    <row r="268" spans="1:14">
      <c r="A268" s="30"/>
      <c r="B268" s="30"/>
      <c r="C268" s="29" t="s">
        <v>41</v>
      </c>
      <c r="D268" s="28"/>
      <c r="E268" s="27"/>
      <c r="F268" s="26"/>
      <c r="G268" s="25"/>
      <c r="H268" s="24"/>
      <c r="I268" s="23"/>
      <c r="J268" s="22"/>
      <c r="K268" s="21"/>
      <c r="L268" s="20"/>
      <c r="M268" s="19"/>
      <c r="N268" s="19"/>
    </row>
    <row r="269" spans="1:14">
      <c r="A269" s="30"/>
      <c r="B269" s="30"/>
      <c r="C269" s="29" t="s">
        <v>40</v>
      </c>
      <c r="D269" s="28"/>
      <c r="E269" s="27"/>
      <c r="F269" s="26"/>
      <c r="G269" s="25"/>
      <c r="H269" s="24"/>
      <c r="I269" s="23"/>
      <c r="J269" s="22"/>
      <c r="K269" s="21"/>
      <c r="L269" s="20"/>
      <c r="M269" s="19"/>
      <c r="N269" s="19"/>
    </row>
    <row r="270" spans="1:14">
      <c r="A270" s="30"/>
      <c r="B270" s="30"/>
      <c r="C270" s="29" t="s">
        <v>39</v>
      </c>
      <c r="D270" s="28"/>
      <c r="E270" s="27"/>
      <c r="F270" s="26"/>
      <c r="G270" s="25"/>
      <c r="H270" s="24"/>
      <c r="I270" s="23"/>
      <c r="J270" s="22"/>
      <c r="K270" s="21"/>
      <c r="L270" s="20"/>
      <c r="M270" s="19"/>
      <c r="N270" s="19"/>
    </row>
    <row r="271" spans="1:14" ht="31.5">
      <c r="A271" s="30"/>
      <c r="B271" s="30"/>
      <c r="C271" s="29" t="s">
        <v>38</v>
      </c>
      <c r="D271" s="28"/>
      <c r="E271" s="27"/>
      <c r="F271" s="26"/>
      <c r="G271" s="25"/>
      <c r="H271" s="24"/>
      <c r="I271" s="23"/>
      <c r="J271" s="22"/>
      <c r="K271" s="21"/>
      <c r="L271" s="20"/>
      <c r="M271" s="19"/>
      <c r="N271" s="19"/>
    </row>
    <row r="272" spans="1:14" s="42" customFormat="1" ht="40.5" customHeight="1">
      <c r="A272" s="30">
        <v>21</v>
      </c>
      <c r="B272" s="30">
        <v>73</v>
      </c>
      <c r="C272" s="283" t="s">
        <v>37</v>
      </c>
      <c r="D272" s="283"/>
      <c r="E272" s="283"/>
      <c r="F272" s="283"/>
      <c r="G272" s="283"/>
      <c r="H272" s="283"/>
      <c r="I272" s="30"/>
      <c r="J272" s="75">
        <f>SUM(J273:J278)</f>
        <v>2848000</v>
      </c>
      <c r="K272" s="21">
        <f>ROUND(F272*G272*H272*I272,-3)</f>
        <v>0</v>
      </c>
      <c r="L272" s="20"/>
      <c r="M272" s="19"/>
      <c r="N272" s="19"/>
    </row>
    <row r="273" spans="1:14" s="42" customFormat="1" ht="31.5">
      <c r="A273" s="30"/>
      <c r="B273" s="30"/>
      <c r="C273" s="49" t="s">
        <v>36</v>
      </c>
      <c r="D273" s="81" t="s">
        <v>32</v>
      </c>
      <c r="E273" s="81" t="s">
        <v>4</v>
      </c>
      <c r="F273" s="80">
        <v>65</v>
      </c>
      <c r="G273" s="82">
        <v>7030</v>
      </c>
      <c r="H273" s="78">
        <v>1</v>
      </c>
      <c r="I273" s="80">
        <v>1</v>
      </c>
      <c r="J273" s="76">
        <f>ROUND(F273*G273*H273*I273,-3)</f>
        <v>457000</v>
      </c>
      <c r="K273" s="21"/>
      <c r="L273" s="20"/>
      <c r="M273" s="19"/>
      <c r="N273" s="19"/>
    </row>
    <row r="274" spans="1:14" s="42" customFormat="1" ht="31.5">
      <c r="A274" s="30"/>
      <c r="B274" s="30"/>
      <c r="C274" s="49" t="s">
        <v>35</v>
      </c>
      <c r="D274" s="81" t="s">
        <v>34</v>
      </c>
      <c r="E274" s="81" t="s">
        <v>4</v>
      </c>
      <c r="F274" s="80">
        <v>1</v>
      </c>
      <c r="G274" s="82">
        <v>154440</v>
      </c>
      <c r="H274" s="78">
        <v>1</v>
      </c>
      <c r="I274" s="77">
        <v>1</v>
      </c>
      <c r="J274" s="76">
        <f>ROUND(F274*G274*H274*I274,-3)</f>
        <v>154000</v>
      </c>
      <c r="K274" s="21"/>
      <c r="L274" s="20"/>
      <c r="M274" s="19"/>
      <c r="N274" s="19"/>
    </row>
    <row r="275" spans="1:14" s="42" customFormat="1" ht="31.5">
      <c r="A275" s="30"/>
      <c r="B275" s="30"/>
      <c r="C275" s="49" t="s">
        <v>33</v>
      </c>
      <c r="D275" s="81" t="s">
        <v>32</v>
      </c>
      <c r="E275" s="81" t="s">
        <v>4</v>
      </c>
      <c r="F275" s="80">
        <v>110</v>
      </c>
      <c r="G275" s="82">
        <v>7030</v>
      </c>
      <c r="H275" s="78">
        <v>1</v>
      </c>
      <c r="I275" s="77">
        <v>1</v>
      </c>
      <c r="J275" s="76">
        <f>ROUND(F275*G275*H275*I275,-3)</f>
        <v>773000</v>
      </c>
      <c r="K275" s="21"/>
      <c r="L275" s="20"/>
      <c r="M275" s="19"/>
      <c r="N275" s="19"/>
    </row>
    <row r="276" spans="1:14" s="42" customFormat="1" ht="31.5">
      <c r="A276" s="30"/>
      <c r="B276" s="30"/>
      <c r="C276" s="49" t="s">
        <v>31</v>
      </c>
      <c r="D276" s="81" t="s">
        <v>30</v>
      </c>
      <c r="E276" s="83" t="s">
        <v>4</v>
      </c>
      <c r="F276" s="26">
        <v>1</v>
      </c>
      <c r="G276" s="82">
        <v>131010</v>
      </c>
      <c r="H276" s="78">
        <v>1</v>
      </c>
      <c r="I276" s="83">
        <v>1</v>
      </c>
      <c r="J276" s="76">
        <f>ROUND(F276*G276*H276*I276,-3)</f>
        <v>131000</v>
      </c>
      <c r="K276" s="21"/>
      <c r="L276" s="20"/>
      <c r="M276" s="19"/>
      <c r="N276" s="19"/>
    </row>
    <row r="277" spans="1:14" s="42" customFormat="1" ht="31.5">
      <c r="A277" s="30"/>
      <c r="B277" s="30"/>
      <c r="C277" s="49" t="s">
        <v>29</v>
      </c>
      <c r="D277" s="81" t="s">
        <v>28</v>
      </c>
      <c r="E277" s="81" t="s">
        <v>4</v>
      </c>
      <c r="F277" s="26">
        <v>2</v>
      </c>
      <c r="G277" s="82">
        <v>645450</v>
      </c>
      <c r="H277" s="45">
        <v>1</v>
      </c>
      <c r="I277" s="26">
        <v>1</v>
      </c>
      <c r="J277" s="43">
        <f>ROUND((F277*G277*H277*I277),-3)</f>
        <v>1291000</v>
      </c>
      <c r="K277" s="21"/>
      <c r="L277" s="20"/>
      <c r="M277" s="19"/>
      <c r="N277" s="19"/>
    </row>
    <row r="278" spans="1:14" s="42" customFormat="1" ht="31.5">
      <c r="A278" s="30"/>
      <c r="B278" s="30"/>
      <c r="C278" s="49" t="s">
        <v>27</v>
      </c>
      <c r="D278" s="81" t="s">
        <v>26</v>
      </c>
      <c r="E278" s="81" t="s">
        <v>25</v>
      </c>
      <c r="F278" s="80">
        <v>10</v>
      </c>
      <c r="G278" s="79">
        <v>4220</v>
      </c>
      <c r="H278" s="78">
        <v>1</v>
      </c>
      <c r="I278" s="77">
        <v>1</v>
      </c>
      <c r="J278" s="76">
        <f>ROUND(F278*G278*H278*I278,-3)</f>
        <v>42000</v>
      </c>
      <c r="K278" s="21"/>
      <c r="L278" s="20"/>
      <c r="M278" s="19"/>
      <c r="N278" s="19"/>
    </row>
    <row r="279" spans="1:14" s="42" customFormat="1" ht="40.5" customHeight="1">
      <c r="A279" s="30">
        <v>22</v>
      </c>
      <c r="B279" s="30">
        <v>69</v>
      </c>
      <c r="C279" s="283" t="s">
        <v>24</v>
      </c>
      <c r="D279" s="283"/>
      <c r="E279" s="283"/>
      <c r="F279" s="283"/>
      <c r="G279" s="283"/>
      <c r="H279" s="283"/>
      <c r="I279" s="30"/>
      <c r="J279" s="75">
        <f>SUM(J280:J281)</f>
        <v>6336000</v>
      </c>
      <c r="K279" s="21">
        <f>ROUND(F279*G279*H279*I279,-3)</f>
        <v>0</v>
      </c>
      <c r="L279" s="20"/>
      <c r="M279" s="19"/>
      <c r="N279" s="19"/>
    </row>
    <row r="280" spans="1:14" s="42" customFormat="1" ht="47.25">
      <c r="A280" s="30"/>
      <c r="B280" s="30"/>
      <c r="C280" s="52" t="s">
        <v>23</v>
      </c>
      <c r="D280" s="51" t="s">
        <v>10</v>
      </c>
      <c r="E280" s="27" t="s">
        <v>2</v>
      </c>
      <c r="F280" s="50">
        <f>1.5*1.2*8</f>
        <v>14.399999999999999</v>
      </c>
      <c r="G280" s="25"/>
      <c r="H280" s="24">
        <v>1</v>
      </c>
      <c r="I280" s="44">
        <v>1.1479999999999999</v>
      </c>
      <c r="J280" s="22">
        <f>ROUND(F280*G280*H280*I280,-3)</f>
        <v>0</v>
      </c>
      <c r="K280" s="21"/>
      <c r="L280" s="20"/>
      <c r="M280" s="19"/>
      <c r="N280" s="19"/>
    </row>
    <row r="281" spans="1:14" s="53" customFormat="1" ht="33.75">
      <c r="A281" s="62"/>
      <c r="B281" s="61"/>
      <c r="C281" s="60" t="s">
        <v>22</v>
      </c>
      <c r="D281" s="59" t="s">
        <v>12</v>
      </c>
      <c r="E281" s="58" t="s">
        <v>7</v>
      </c>
      <c r="F281" s="57">
        <f>8*1</f>
        <v>8</v>
      </c>
      <c r="G281" s="56">
        <v>792000</v>
      </c>
      <c r="H281" s="55">
        <v>1</v>
      </c>
      <c r="I281" s="44">
        <v>1</v>
      </c>
      <c r="J281" s="54">
        <f>ROUND(F281*G281*H281*I281,-3)</f>
        <v>6336000</v>
      </c>
      <c r="K281" s="33">
        <f>ROUND(F281*G281*H281*I281,-3)</f>
        <v>6336000</v>
      </c>
    </row>
    <row r="282" spans="1:14" s="42" customFormat="1" ht="40.5" customHeight="1">
      <c r="A282" s="30">
        <v>23</v>
      </c>
      <c r="B282" s="30">
        <v>57</v>
      </c>
      <c r="C282" s="283" t="s">
        <v>21</v>
      </c>
      <c r="D282" s="283"/>
      <c r="E282" s="283"/>
      <c r="F282" s="283"/>
      <c r="G282" s="283"/>
      <c r="H282" s="283"/>
      <c r="I282" s="30"/>
      <c r="J282" s="75">
        <f>SUM(J283:J290)</f>
        <v>24230000</v>
      </c>
      <c r="K282" s="21">
        <f>ROUND(F282*G282*H282*I282,-3)</f>
        <v>0</v>
      </c>
      <c r="L282" s="20"/>
      <c r="M282" s="19"/>
      <c r="N282" s="19"/>
    </row>
    <row r="283" spans="1:14" s="31" customFormat="1" ht="47.25">
      <c r="A283" s="41"/>
      <c r="B283" s="41"/>
      <c r="C283" s="40" t="s">
        <v>20</v>
      </c>
      <c r="D283" s="74" t="s">
        <v>19</v>
      </c>
      <c r="E283" s="73" t="s">
        <v>16</v>
      </c>
      <c r="F283" s="38">
        <f>5.9*2.4</f>
        <v>14.16</v>
      </c>
      <c r="G283" s="72">
        <v>453000</v>
      </c>
      <c r="H283" s="71">
        <v>1</v>
      </c>
      <c r="I283" s="44">
        <v>1</v>
      </c>
      <c r="J283" s="70">
        <f>ROUND(F283*G283*H283*I283,-3)</f>
        <v>6414000</v>
      </c>
      <c r="K283" s="33">
        <f>ROUND(F283*G283*H283*I283,-3)</f>
        <v>6414000</v>
      </c>
      <c r="L283" s="32"/>
      <c r="M283" s="32"/>
    </row>
    <row r="284" spans="1:14" s="31" customFormat="1" ht="47.25">
      <c r="A284" s="41"/>
      <c r="B284" s="41"/>
      <c r="C284" s="40" t="s">
        <v>18</v>
      </c>
      <c r="D284" s="69" t="s">
        <v>17</v>
      </c>
      <c r="E284" s="68" t="s">
        <v>16</v>
      </c>
      <c r="F284" s="67">
        <f>5.8*2.4</f>
        <v>13.92</v>
      </c>
      <c r="G284" s="66">
        <v>215000</v>
      </c>
      <c r="H284" s="65">
        <v>1</v>
      </c>
      <c r="I284" s="44">
        <v>1</v>
      </c>
      <c r="J284" s="64">
        <f>ROUND(F284*G284*H284*I284,-3)</f>
        <v>2993000</v>
      </c>
      <c r="K284" s="33">
        <f>ROUND(F284*G284*H284*I284,-3)</f>
        <v>2993000</v>
      </c>
      <c r="L284" s="32"/>
      <c r="M284" s="32"/>
    </row>
    <row r="285" spans="1:14" s="42" customFormat="1" ht="63">
      <c r="A285" s="30"/>
      <c r="B285" s="30"/>
      <c r="C285" s="49" t="s">
        <v>15</v>
      </c>
      <c r="D285" s="51" t="s">
        <v>14</v>
      </c>
      <c r="E285" s="27" t="s">
        <v>2</v>
      </c>
      <c r="F285" s="50">
        <f>5.9*0.2*0.15+4.8*0.2*1.5</f>
        <v>1.617</v>
      </c>
      <c r="G285" s="63">
        <v>1837000</v>
      </c>
      <c r="H285" s="24">
        <v>1</v>
      </c>
      <c r="I285" s="44">
        <v>1.1479999999999999</v>
      </c>
      <c r="J285" s="22">
        <f>ROUND(F285*G285*H285*I285,-3)</f>
        <v>3410000</v>
      </c>
      <c r="K285" s="21"/>
      <c r="L285" s="20"/>
      <c r="M285" s="19"/>
      <c r="N285" s="19"/>
    </row>
    <row r="286" spans="1:14" s="53" customFormat="1" ht="33.75">
      <c r="A286" s="62"/>
      <c r="B286" s="61"/>
      <c r="C286" s="60" t="s">
        <v>13</v>
      </c>
      <c r="D286" s="59" t="s">
        <v>12</v>
      </c>
      <c r="E286" s="58" t="s">
        <v>7</v>
      </c>
      <c r="F286" s="57">
        <f>19*0.7</f>
        <v>13.299999999999999</v>
      </c>
      <c r="G286" s="56">
        <v>792000</v>
      </c>
      <c r="H286" s="55">
        <v>1</v>
      </c>
      <c r="I286" s="44">
        <v>1</v>
      </c>
      <c r="J286" s="54">
        <f>ROUND(F286*G286*H286*I286,-3)</f>
        <v>10534000</v>
      </c>
      <c r="K286" s="33">
        <f>ROUND(F286*G286*H286*I286,-3)</f>
        <v>10534000</v>
      </c>
    </row>
    <row r="287" spans="1:14" s="42" customFormat="1" ht="47.25">
      <c r="A287" s="30"/>
      <c r="B287" s="30"/>
      <c r="C287" s="52" t="s">
        <v>11</v>
      </c>
      <c r="D287" s="51" t="s">
        <v>10</v>
      </c>
      <c r="E287" s="27" t="s">
        <v>2</v>
      </c>
      <c r="F287" s="50">
        <f>14*0.5*1</f>
        <v>7</v>
      </c>
      <c r="G287" s="25"/>
      <c r="H287" s="24">
        <v>1</v>
      </c>
      <c r="I287" s="44">
        <v>1.1479999999999999</v>
      </c>
      <c r="J287" s="22">
        <f>ROUND(F287*G287*H287*I287,-3)</f>
        <v>0</v>
      </c>
      <c r="K287" s="21"/>
      <c r="L287" s="20"/>
      <c r="M287" s="19"/>
      <c r="N287" s="19"/>
    </row>
    <row r="288" spans="1:14" s="42" customFormat="1" ht="47.25">
      <c r="A288" s="30"/>
      <c r="B288" s="30"/>
      <c r="C288" s="49" t="s">
        <v>9</v>
      </c>
      <c r="D288" s="48" t="s">
        <v>8</v>
      </c>
      <c r="E288" s="47" t="s">
        <v>7</v>
      </c>
      <c r="F288" s="26">
        <f>20*1.6</f>
        <v>32</v>
      </c>
      <c r="G288" s="46">
        <v>11000</v>
      </c>
      <c r="H288" s="45">
        <v>0.6</v>
      </c>
      <c r="I288" s="44">
        <v>1</v>
      </c>
      <c r="J288" s="43">
        <f>ROUND((F288*G288*H288*I288),-3)</f>
        <v>211000</v>
      </c>
      <c r="K288" s="33">
        <f>ROUND(F288*G288*H288*I288,-3)</f>
        <v>211000</v>
      </c>
      <c r="L288" s="20"/>
      <c r="M288" s="20"/>
      <c r="N288" s="19"/>
    </row>
    <row r="289" spans="1:14" s="31" customFormat="1" ht="31.5">
      <c r="A289" s="41"/>
      <c r="B289" s="41"/>
      <c r="C289" s="40" t="s">
        <v>6</v>
      </c>
      <c r="D289" s="39" t="s">
        <v>5</v>
      </c>
      <c r="E289" s="39" t="s">
        <v>4</v>
      </c>
      <c r="F289" s="38">
        <v>25</v>
      </c>
      <c r="G289" s="37">
        <v>26730</v>
      </c>
      <c r="H289" s="36">
        <v>1</v>
      </c>
      <c r="I289" s="35">
        <v>1</v>
      </c>
      <c r="J289" s="34">
        <f>ROUND(F289*G289*H289*I289,-3)</f>
        <v>668000</v>
      </c>
      <c r="K289" s="33">
        <f>ROUND(F289*G289*H289*I289,-3)</f>
        <v>668000</v>
      </c>
      <c r="L289" s="32"/>
      <c r="M289" s="32"/>
    </row>
    <row r="290" spans="1:14" ht="33" customHeight="1">
      <c r="A290" s="30"/>
      <c r="B290" s="30"/>
      <c r="C290" s="29" t="s">
        <v>3</v>
      </c>
      <c r="D290" s="28"/>
      <c r="E290" s="27" t="s">
        <v>2</v>
      </c>
      <c r="F290" s="26">
        <f>0.7*1.1*1.5</f>
        <v>1.155</v>
      </c>
      <c r="G290" s="25"/>
      <c r="H290" s="24"/>
      <c r="I290" s="23"/>
      <c r="J290" s="22"/>
      <c r="K290" s="21"/>
      <c r="L290" s="20"/>
      <c r="M290" s="19"/>
      <c r="N290" s="19"/>
    </row>
    <row r="291" spans="1:14" s="11" customFormat="1">
      <c r="A291" s="18"/>
      <c r="B291" s="17"/>
      <c r="C291" s="290" t="s">
        <v>1</v>
      </c>
      <c r="D291" s="290"/>
      <c r="E291" s="290"/>
      <c r="F291" s="290"/>
      <c r="G291" s="290"/>
      <c r="H291" s="290"/>
      <c r="I291" s="290"/>
      <c r="J291" s="16">
        <f>SUM(J6:J290)/2</f>
        <v>3669859000</v>
      </c>
      <c r="K291" s="16">
        <f>SUM(K6:K290)</f>
        <v>3500894000</v>
      </c>
      <c r="L291" s="13"/>
      <c r="N291" s="15" t="e">
        <f>SUM(#REF!)</f>
        <v>#REF!</v>
      </c>
    </row>
    <row r="292" spans="1:14" s="11" customFormat="1" ht="38.25" customHeight="1">
      <c r="A292" s="291" t="s">
        <v>0</v>
      </c>
      <c r="B292" s="291"/>
      <c r="C292" s="291"/>
      <c r="D292" s="291"/>
      <c r="E292" s="291"/>
      <c r="F292" s="291"/>
      <c r="G292" s="291"/>
      <c r="H292" s="291"/>
      <c r="I292" s="291"/>
      <c r="J292" s="291"/>
      <c r="K292" s="14">
        <f>ROUND(F292*G292*H292*I292,-3)</f>
        <v>0</v>
      </c>
      <c r="L292" s="13"/>
      <c r="N292" s="12"/>
    </row>
  </sheetData>
  <autoFilter ref="B5:P292"/>
  <mergeCells count="35">
    <mergeCell ref="C282:H282"/>
    <mergeCell ref="C291:I291"/>
    <mergeCell ref="A292:J292"/>
    <mergeCell ref="C248:H248"/>
    <mergeCell ref="C255:H255"/>
    <mergeCell ref="C262:H262"/>
    <mergeCell ref="C267:I267"/>
    <mergeCell ref="C272:H272"/>
    <mergeCell ref="C279:H279"/>
    <mergeCell ref="C194:I194"/>
    <mergeCell ref="C201:H201"/>
    <mergeCell ref="C220:I220"/>
    <mergeCell ref="C232:I232"/>
    <mergeCell ref="C238:H238"/>
    <mergeCell ref="C244:H244"/>
    <mergeCell ref="D112:I112"/>
    <mergeCell ref="C118:H118"/>
    <mergeCell ref="C131:H131"/>
    <mergeCell ref="C171:I171"/>
    <mergeCell ref="C178:H178"/>
    <mergeCell ref="G181:I181"/>
    <mergeCell ref="C6:H6"/>
    <mergeCell ref="C14:H14"/>
    <mergeCell ref="C49:H49"/>
    <mergeCell ref="C69:H69"/>
    <mergeCell ref="C75:H75"/>
    <mergeCell ref="C97:H97"/>
    <mergeCell ref="A1:J1"/>
    <mergeCell ref="A2:J2"/>
    <mergeCell ref="A3:A4"/>
    <mergeCell ref="B3:B4"/>
    <mergeCell ref="C3:C4"/>
    <mergeCell ref="D3:D4"/>
    <mergeCell ref="E3:E4"/>
    <mergeCell ref="F3:J3"/>
  </mergeCells>
  <pageMargins left="0" right="0" top="7.874015748031496E-2" bottom="0.11811023622047245" header="0.19685039370078741" footer="0.23622047244094491"/>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0"/>
  <sheetViews>
    <sheetView zoomScale="90" zoomScaleNormal="90" workbookViewId="0">
      <selection activeCell="I7" sqref="I7"/>
    </sheetView>
  </sheetViews>
  <sheetFormatPr defaultRowHeight="15"/>
  <cols>
    <col min="1" max="2" width="5.7109375" style="277" customWidth="1"/>
    <col min="3" max="3" width="23.42578125" style="277" customWidth="1"/>
    <col min="4" max="4" width="6.85546875" style="278" customWidth="1"/>
    <col min="5" max="5" width="6.85546875" style="279" customWidth="1"/>
    <col min="6" max="7" width="7" style="278" customWidth="1"/>
    <col min="8" max="8" width="10.5703125" style="280" customWidth="1"/>
    <col min="9" max="9" width="8.5703125" style="281" customWidth="1"/>
    <col min="10" max="10" width="8" style="277" customWidth="1"/>
    <col min="11" max="11" width="7" style="277" customWidth="1"/>
    <col min="12" max="256" width="9.140625" style="282"/>
    <col min="257" max="258" width="5.7109375" style="282" customWidth="1"/>
    <col min="259" max="259" width="23.42578125" style="282" customWidth="1"/>
    <col min="260" max="261" width="6.85546875" style="282" customWidth="1"/>
    <col min="262" max="263" width="7" style="282" customWidth="1"/>
    <col min="264" max="264" width="10.5703125" style="282" customWidth="1"/>
    <col min="265" max="265" width="8.5703125" style="282" customWidth="1"/>
    <col min="266" max="266" width="8" style="282" customWidth="1"/>
    <col min="267" max="267" width="7" style="282" customWidth="1"/>
    <col min="268" max="512" width="9.140625" style="282"/>
    <col min="513" max="514" width="5.7109375" style="282" customWidth="1"/>
    <col min="515" max="515" width="23.42578125" style="282" customWidth="1"/>
    <col min="516" max="517" width="6.85546875" style="282" customWidth="1"/>
    <col min="518" max="519" width="7" style="282" customWidth="1"/>
    <col min="520" max="520" width="10.5703125" style="282" customWidth="1"/>
    <col min="521" max="521" width="8.5703125" style="282" customWidth="1"/>
    <col min="522" max="522" width="8" style="282" customWidth="1"/>
    <col min="523" max="523" width="7" style="282" customWidth="1"/>
    <col min="524" max="768" width="9.140625" style="282"/>
    <col min="769" max="770" width="5.7109375" style="282" customWidth="1"/>
    <col min="771" max="771" width="23.42578125" style="282" customWidth="1"/>
    <col min="772" max="773" width="6.85546875" style="282" customWidth="1"/>
    <col min="774" max="775" width="7" style="282" customWidth="1"/>
    <col min="776" max="776" width="10.5703125" style="282" customWidth="1"/>
    <col min="777" max="777" width="8.5703125" style="282" customWidth="1"/>
    <col min="778" max="778" width="8" style="282" customWidth="1"/>
    <col min="779" max="779" width="7" style="282" customWidth="1"/>
    <col min="780" max="1024" width="9.140625" style="282"/>
    <col min="1025" max="1026" width="5.7109375" style="282" customWidth="1"/>
    <col min="1027" max="1027" width="23.42578125" style="282" customWidth="1"/>
    <col min="1028" max="1029" width="6.85546875" style="282" customWidth="1"/>
    <col min="1030" max="1031" width="7" style="282" customWidth="1"/>
    <col min="1032" max="1032" width="10.5703125" style="282" customWidth="1"/>
    <col min="1033" max="1033" width="8.5703125" style="282" customWidth="1"/>
    <col min="1034" max="1034" width="8" style="282" customWidth="1"/>
    <col min="1035" max="1035" width="7" style="282" customWidth="1"/>
    <col min="1036" max="1280" width="9.140625" style="282"/>
    <col min="1281" max="1282" width="5.7109375" style="282" customWidth="1"/>
    <col min="1283" max="1283" width="23.42578125" style="282" customWidth="1"/>
    <col min="1284" max="1285" width="6.85546875" style="282" customWidth="1"/>
    <col min="1286" max="1287" width="7" style="282" customWidth="1"/>
    <col min="1288" max="1288" width="10.5703125" style="282" customWidth="1"/>
    <col min="1289" max="1289" width="8.5703125" style="282" customWidth="1"/>
    <col min="1290" max="1290" width="8" style="282" customWidth="1"/>
    <col min="1291" max="1291" width="7" style="282" customWidth="1"/>
    <col min="1292" max="1536" width="9.140625" style="282"/>
    <col min="1537" max="1538" width="5.7109375" style="282" customWidth="1"/>
    <col min="1539" max="1539" width="23.42578125" style="282" customWidth="1"/>
    <col min="1540" max="1541" width="6.85546875" style="282" customWidth="1"/>
    <col min="1542" max="1543" width="7" style="282" customWidth="1"/>
    <col min="1544" max="1544" width="10.5703125" style="282" customWidth="1"/>
    <col min="1545" max="1545" width="8.5703125" style="282" customWidth="1"/>
    <col min="1546" max="1546" width="8" style="282" customWidth="1"/>
    <col min="1547" max="1547" width="7" style="282" customWidth="1"/>
    <col min="1548" max="1792" width="9.140625" style="282"/>
    <col min="1793" max="1794" width="5.7109375" style="282" customWidth="1"/>
    <col min="1795" max="1795" width="23.42578125" style="282" customWidth="1"/>
    <col min="1796" max="1797" width="6.85546875" style="282" customWidth="1"/>
    <col min="1798" max="1799" width="7" style="282" customWidth="1"/>
    <col min="1800" max="1800" width="10.5703125" style="282" customWidth="1"/>
    <col min="1801" max="1801" width="8.5703125" style="282" customWidth="1"/>
    <col min="1802" max="1802" width="8" style="282" customWidth="1"/>
    <col min="1803" max="1803" width="7" style="282" customWidth="1"/>
    <col min="1804" max="2048" width="9.140625" style="282"/>
    <col min="2049" max="2050" width="5.7109375" style="282" customWidth="1"/>
    <col min="2051" max="2051" width="23.42578125" style="282" customWidth="1"/>
    <col min="2052" max="2053" width="6.85546875" style="282" customWidth="1"/>
    <col min="2054" max="2055" width="7" style="282" customWidth="1"/>
    <col min="2056" max="2056" width="10.5703125" style="282" customWidth="1"/>
    <col min="2057" max="2057" width="8.5703125" style="282" customWidth="1"/>
    <col min="2058" max="2058" width="8" style="282" customWidth="1"/>
    <col min="2059" max="2059" width="7" style="282" customWidth="1"/>
    <col min="2060" max="2304" width="9.140625" style="282"/>
    <col min="2305" max="2306" width="5.7109375" style="282" customWidth="1"/>
    <col min="2307" max="2307" width="23.42578125" style="282" customWidth="1"/>
    <col min="2308" max="2309" width="6.85546875" style="282" customWidth="1"/>
    <col min="2310" max="2311" width="7" style="282" customWidth="1"/>
    <col min="2312" max="2312" width="10.5703125" style="282" customWidth="1"/>
    <col min="2313" max="2313" width="8.5703125" style="282" customWidth="1"/>
    <col min="2314" max="2314" width="8" style="282" customWidth="1"/>
    <col min="2315" max="2315" width="7" style="282" customWidth="1"/>
    <col min="2316" max="2560" width="9.140625" style="282"/>
    <col min="2561" max="2562" width="5.7109375" style="282" customWidth="1"/>
    <col min="2563" max="2563" width="23.42578125" style="282" customWidth="1"/>
    <col min="2564" max="2565" width="6.85546875" style="282" customWidth="1"/>
    <col min="2566" max="2567" width="7" style="282" customWidth="1"/>
    <col min="2568" max="2568" width="10.5703125" style="282" customWidth="1"/>
    <col min="2569" max="2569" width="8.5703125" style="282" customWidth="1"/>
    <col min="2570" max="2570" width="8" style="282" customWidth="1"/>
    <col min="2571" max="2571" width="7" style="282" customWidth="1"/>
    <col min="2572" max="2816" width="9.140625" style="282"/>
    <col min="2817" max="2818" width="5.7109375" style="282" customWidth="1"/>
    <col min="2819" max="2819" width="23.42578125" style="282" customWidth="1"/>
    <col min="2820" max="2821" width="6.85546875" style="282" customWidth="1"/>
    <col min="2822" max="2823" width="7" style="282" customWidth="1"/>
    <col min="2824" max="2824" width="10.5703125" style="282" customWidth="1"/>
    <col min="2825" max="2825" width="8.5703125" style="282" customWidth="1"/>
    <col min="2826" max="2826" width="8" style="282" customWidth="1"/>
    <col min="2827" max="2827" width="7" style="282" customWidth="1"/>
    <col min="2828" max="3072" width="9.140625" style="282"/>
    <col min="3073" max="3074" width="5.7109375" style="282" customWidth="1"/>
    <col min="3075" max="3075" width="23.42578125" style="282" customWidth="1"/>
    <col min="3076" max="3077" width="6.85546875" style="282" customWidth="1"/>
    <col min="3078" max="3079" width="7" style="282" customWidth="1"/>
    <col min="3080" max="3080" width="10.5703125" style="282" customWidth="1"/>
    <col min="3081" max="3081" width="8.5703125" style="282" customWidth="1"/>
    <col min="3082" max="3082" width="8" style="282" customWidth="1"/>
    <col min="3083" max="3083" width="7" style="282" customWidth="1"/>
    <col min="3084" max="3328" width="9.140625" style="282"/>
    <col min="3329" max="3330" width="5.7109375" style="282" customWidth="1"/>
    <col min="3331" max="3331" width="23.42578125" style="282" customWidth="1"/>
    <col min="3332" max="3333" width="6.85546875" style="282" customWidth="1"/>
    <col min="3334" max="3335" width="7" style="282" customWidth="1"/>
    <col min="3336" max="3336" width="10.5703125" style="282" customWidth="1"/>
    <col min="3337" max="3337" width="8.5703125" style="282" customWidth="1"/>
    <col min="3338" max="3338" width="8" style="282" customWidth="1"/>
    <col min="3339" max="3339" width="7" style="282" customWidth="1"/>
    <col min="3340" max="3584" width="9.140625" style="282"/>
    <col min="3585" max="3586" width="5.7109375" style="282" customWidth="1"/>
    <col min="3587" max="3587" width="23.42578125" style="282" customWidth="1"/>
    <col min="3588" max="3589" width="6.85546875" style="282" customWidth="1"/>
    <col min="3590" max="3591" width="7" style="282" customWidth="1"/>
    <col min="3592" max="3592" width="10.5703125" style="282" customWidth="1"/>
    <col min="3593" max="3593" width="8.5703125" style="282" customWidth="1"/>
    <col min="3594" max="3594" width="8" style="282" customWidth="1"/>
    <col min="3595" max="3595" width="7" style="282" customWidth="1"/>
    <col min="3596" max="3840" width="9.140625" style="282"/>
    <col min="3841" max="3842" width="5.7109375" style="282" customWidth="1"/>
    <col min="3843" max="3843" width="23.42578125" style="282" customWidth="1"/>
    <col min="3844" max="3845" width="6.85546875" style="282" customWidth="1"/>
    <col min="3846" max="3847" width="7" style="282" customWidth="1"/>
    <col min="3848" max="3848" width="10.5703125" style="282" customWidth="1"/>
    <col min="3849" max="3849" width="8.5703125" style="282" customWidth="1"/>
    <col min="3850" max="3850" width="8" style="282" customWidth="1"/>
    <col min="3851" max="3851" width="7" style="282" customWidth="1"/>
    <col min="3852" max="4096" width="9.140625" style="282"/>
    <col min="4097" max="4098" width="5.7109375" style="282" customWidth="1"/>
    <col min="4099" max="4099" width="23.42578125" style="282" customWidth="1"/>
    <col min="4100" max="4101" width="6.85546875" style="282" customWidth="1"/>
    <col min="4102" max="4103" width="7" style="282" customWidth="1"/>
    <col min="4104" max="4104" width="10.5703125" style="282" customWidth="1"/>
    <col min="4105" max="4105" width="8.5703125" style="282" customWidth="1"/>
    <col min="4106" max="4106" width="8" style="282" customWidth="1"/>
    <col min="4107" max="4107" width="7" style="282" customWidth="1"/>
    <col min="4108" max="4352" width="9.140625" style="282"/>
    <col min="4353" max="4354" width="5.7109375" style="282" customWidth="1"/>
    <col min="4355" max="4355" width="23.42578125" style="282" customWidth="1"/>
    <col min="4356" max="4357" width="6.85546875" style="282" customWidth="1"/>
    <col min="4358" max="4359" width="7" style="282" customWidth="1"/>
    <col min="4360" max="4360" width="10.5703125" style="282" customWidth="1"/>
    <col min="4361" max="4361" width="8.5703125" style="282" customWidth="1"/>
    <col min="4362" max="4362" width="8" style="282" customWidth="1"/>
    <col min="4363" max="4363" width="7" style="282" customWidth="1"/>
    <col min="4364" max="4608" width="9.140625" style="282"/>
    <col min="4609" max="4610" width="5.7109375" style="282" customWidth="1"/>
    <col min="4611" max="4611" width="23.42578125" style="282" customWidth="1"/>
    <col min="4612" max="4613" width="6.85546875" style="282" customWidth="1"/>
    <col min="4614" max="4615" width="7" style="282" customWidth="1"/>
    <col min="4616" max="4616" width="10.5703125" style="282" customWidth="1"/>
    <col min="4617" max="4617" width="8.5703125" style="282" customWidth="1"/>
    <col min="4618" max="4618" width="8" style="282" customWidth="1"/>
    <col min="4619" max="4619" width="7" style="282" customWidth="1"/>
    <col min="4620" max="4864" width="9.140625" style="282"/>
    <col min="4865" max="4866" width="5.7109375" style="282" customWidth="1"/>
    <col min="4867" max="4867" width="23.42578125" style="282" customWidth="1"/>
    <col min="4868" max="4869" width="6.85546875" style="282" customWidth="1"/>
    <col min="4870" max="4871" width="7" style="282" customWidth="1"/>
    <col min="4872" max="4872" width="10.5703125" style="282" customWidth="1"/>
    <col min="4873" max="4873" width="8.5703125" style="282" customWidth="1"/>
    <col min="4874" max="4874" width="8" style="282" customWidth="1"/>
    <col min="4875" max="4875" width="7" style="282" customWidth="1"/>
    <col min="4876" max="5120" width="9.140625" style="282"/>
    <col min="5121" max="5122" width="5.7109375" style="282" customWidth="1"/>
    <col min="5123" max="5123" width="23.42578125" style="282" customWidth="1"/>
    <col min="5124" max="5125" width="6.85546875" style="282" customWidth="1"/>
    <col min="5126" max="5127" width="7" style="282" customWidth="1"/>
    <col min="5128" max="5128" width="10.5703125" style="282" customWidth="1"/>
    <col min="5129" max="5129" width="8.5703125" style="282" customWidth="1"/>
    <col min="5130" max="5130" width="8" style="282" customWidth="1"/>
    <col min="5131" max="5131" width="7" style="282" customWidth="1"/>
    <col min="5132" max="5376" width="9.140625" style="282"/>
    <col min="5377" max="5378" width="5.7109375" style="282" customWidth="1"/>
    <col min="5379" max="5379" width="23.42578125" style="282" customWidth="1"/>
    <col min="5380" max="5381" width="6.85546875" style="282" customWidth="1"/>
    <col min="5382" max="5383" width="7" style="282" customWidth="1"/>
    <col min="5384" max="5384" width="10.5703125" style="282" customWidth="1"/>
    <col min="5385" max="5385" width="8.5703125" style="282" customWidth="1"/>
    <col min="5386" max="5386" width="8" style="282" customWidth="1"/>
    <col min="5387" max="5387" width="7" style="282" customWidth="1"/>
    <col min="5388" max="5632" width="9.140625" style="282"/>
    <col min="5633" max="5634" width="5.7109375" style="282" customWidth="1"/>
    <col min="5635" max="5635" width="23.42578125" style="282" customWidth="1"/>
    <col min="5636" max="5637" width="6.85546875" style="282" customWidth="1"/>
    <col min="5638" max="5639" width="7" style="282" customWidth="1"/>
    <col min="5640" max="5640" width="10.5703125" style="282" customWidth="1"/>
    <col min="5641" max="5641" width="8.5703125" style="282" customWidth="1"/>
    <col min="5642" max="5642" width="8" style="282" customWidth="1"/>
    <col min="5643" max="5643" width="7" style="282" customWidth="1"/>
    <col min="5644" max="5888" width="9.140625" style="282"/>
    <col min="5889" max="5890" width="5.7109375" style="282" customWidth="1"/>
    <col min="5891" max="5891" width="23.42578125" style="282" customWidth="1"/>
    <col min="5892" max="5893" width="6.85546875" style="282" customWidth="1"/>
    <col min="5894" max="5895" width="7" style="282" customWidth="1"/>
    <col min="5896" max="5896" width="10.5703125" style="282" customWidth="1"/>
    <col min="5897" max="5897" width="8.5703125" style="282" customWidth="1"/>
    <col min="5898" max="5898" width="8" style="282" customWidth="1"/>
    <col min="5899" max="5899" width="7" style="282" customWidth="1"/>
    <col min="5900" max="6144" width="9.140625" style="282"/>
    <col min="6145" max="6146" width="5.7109375" style="282" customWidth="1"/>
    <col min="6147" max="6147" width="23.42578125" style="282" customWidth="1"/>
    <col min="6148" max="6149" width="6.85546875" style="282" customWidth="1"/>
    <col min="6150" max="6151" width="7" style="282" customWidth="1"/>
    <col min="6152" max="6152" width="10.5703125" style="282" customWidth="1"/>
    <col min="6153" max="6153" width="8.5703125" style="282" customWidth="1"/>
    <col min="6154" max="6154" width="8" style="282" customWidth="1"/>
    <col min="6155" max="6155" width="7" style="282" customWidth="1"/>
    <col min="6156" max="6400" width="9.140625" style="282"/>
    <col min="6401" max="6402" width="5.7109375" style="282" customWidth="1"/>
    <col min="6403" max="6403" width="23.42578125" style="282" customWidth="1"/>
    <col min="6404" max="6405" width="6.85546875" style="282" customWidth="1"/>
    <col min="6406" max="6407" width="7" style="282" customWidth="1"/>
    <col min="6408" max="6408" width="10.5703125" style="282" customWidth="1"/>
    <col min="6409" max="6409" width="8.5703125" style="282" customWidth="1"/>
    <col min="6410" max="6410" width="8" style="282" customWidth="1"/>
    <col min="6411" max="6411" width="7" style="282" customWidth="1"/>
    <col min="6412" max="6656" width="9.140625" style="282"/>
    <col min="6657" max="6658" width="5.7109375" style="282" customWidth="1"/>
    <col min="6659" max="6659" width="23.42578125" style="282" customWidth="1"/>
    <col min="6660" max="6661" width="6.85546875" style="282" customWidth="1"/>
    <col min="6662" max="6663" width="7" style="282" customWidth="1"/>
    <col min="6664" max="6664" width="10.5703125" style="282" customWidth="1"/>
    <col min="6665" max="6665" width="8.5703125" style="282" customWidth="1"/>
    <col min="6666" max="6666" width="8" style="282" customWidth="1"/>
    <col min="6667" max="6667" width="7" style="282" customWidth="1"/>
    <col min="6668" max="6912" width="9.140625" style="282"/>
    <col min="6913" max="6914" width="5.7109375" style="282" customWidth="1"/>
    <col min="6915" max="6915" width="23.42578125" style="282" customWidth="1"/>
    <col min="6916" max="6917" width="6.85546875" style="282" customWidth="1"/>
    <col min="6918" max="6919" width="7" style="282" customWidth="1"/>
    <col min="6920" max="6920" width="10.5703125" style="282" customWidth="1"/>
    <col min="6921" max="6921" width="8.5703125" style="282" customWidth="1"/>
    <col min="6922" max="6922" width="8" style="282" customWidth="1"/>
    <col min="6923" max="6923" width="7" style="282" customWidth="1"/>
    <col min="6924" max="7168" width="9.140625" style="282"/>
    <col min="7169" max="7170" width="5.7109375" style="282" customWidth="1"/>
    <col min="7171" max="7171" width="23.42578125" style="282" customWidth="1"/>
    <col min="7172" max="7173" width="6.85546875" style="282" customWidth="1"/>
    <col min="7174" max="7175" width="7" style="282" customWidth="1"/>
    <col min="7176" max="7176" width="10.5703125" style="282" customWidth="1"/>
    <col min="7177" max="7177" width="8.5703125" style="282" customWidth="1"/>
    <col min="7178" max="7178" width="8" style="282" customWidth="1"/>
    <col min="7179" max="7179" width="7" style="282" customWidth="1"/>
    <col min="7180" max="7424" width="9.140625" style="282"/>
    <col min="7425" max="7426" width="5.7109375" style="282" customWidth="1"/>
    <col min="7427" max="7427" width="23.42578125" style="282" customWidth="1"/>
    <col min="7428" max="7429" width="6.85546875" style="282" customWidth="1"/>
    <col min="7430" max="7431" width="7" style="282" customWidth="1"/>
    <col min="7432" max="7432" width="10.5703125" style="282" customWidth="1"/>
    <col min="7433" max="7433" width="8.5703125" style="282" customWidth="1"/>
    <col min="7434" max="7434" width="8" style="282" customWidth="1"/>
    <col min="7435" max="7435" width="7" style="282" customWidth="1"/>
    <col min="7436" max="7680" width="9.140625" style="282"/>
    <col min="7681" max="7682" width="5.7109375" style="282" customWidth="1"/>
    <col min="7683" max="7683" width="23.42578125" style="282" customWidth="1"/>
    <col min="7684" max="7685" width="6.85546875" style="282" customWidth="1"/>
    <col min="7686" max="7687" width="7" style="282" customWidth="1"/>
    <col min="7688" max="7688" width="10.5703125" style="282" customWidth="1"/>
    <col min="7689" max="7689" width="8.5703125" style="282" customWidth="1"/>
    <col min="7690" max="7690" width="8" style="282" customWidth="1"/>
    <col min="7691" max="7691" width="7" style="282" customWidth="1"/>
    <col min="7692" max="7936" width="9.140625" style="282"/>
    <col min="7937" max="7938" width="5.7109375" style="282" customWidth="1"/>
    <col min="7939" max="7939" width="23.42578125" style="282" customWidth="1"/>
    <col min="7940" max="7941" width="6.85546875" style="282" customWidth="1"/>
    <col min="7942" max="7943" width="7" style="282" customWidth="1"/>
    <col min="7944" max="7944" width="10.5703125" style="282" customWidth="1"/>
    <col min="7945" max="7945" width="8.5703125" style="282" customWidth="1"/>
    <col min="7946" max="7946" width="8" style="282" customWidth="1"/>
    <col min="7947" max="7947" width="7" style="282" customWidth="1"/>
    <col min="7948" max="8192" width="9.140625" style="282"/>
    <col min="8193" max="8194" width="5.7109375" style="282" customWidth="1"/>
    <col min="8195" max="8195" width="23.42578125" style="282" customWidth="1"/>
    <col min="8196" max="8197" width="6.85546875" style="282" customWidth="1"/>
    <col min="8198" max="8199" width="7" style="282" customWidth="1"/>
    <col min="8200" max="8200" width="10.5703125" style="282" customWidth="1"/>
    <col min="8201" max="8201" width="8.5703125" style="282" customWidth="1"/>
    <col min="8202" max="8202" width="8" style="282" customWidth="1"/>
    <col min="8203" max="8203" width="7" style="282" customWidth="1"/>
    <col min="8204" max="8448" width="9.140625" style="282"/>
    <col min="8449" max="8450" width="5.7109375" style="282" customWidth="1"/>
    <col min="8451" max="8451" width="23.42578125" style="282" customWidth="1"/>
    <col min="8452" max="8453" width="6.85546875" style="282" customWidth="1"/>
    <col min="8454" max="8455" width="7" style="282" customWidth="1"/>
    <col min="8456" max="8456" width="10.5703125" style="282" customWidth="1"/>
    <col min="8457" max="8457" width="8.5703125" style="282" customWidth="1"/>
    <col min="8458" max="8458" width="8" style="282" customWidth="1"/>
    <col min="8459" max="8459" width="7" style="282" customWidth="1"/>
    <col min="8460" max="8704" width="9.140625" style="282"/>
    <col min="8705" max="8706" width="5.7109375" style="282" customWidth="1"/>
    <col min="8707" max="8707" width="23.42578125" style="282" customWidth="1"/>
    <col min="8708" max="8709" width="6.85546875" style="282" customWidth="1"/>
    <col min="8710" max="8711" width="7" style="282" customWidth="1"/>
    <col min="8712" max="8712" width="10.5703125" style="282" customWidth="1"/>
    <col min="8713" max="8713" width="8.5703125" style="282" customWidth="1"/>
    <col min="8714" max="8714" width="8" style="282" customWidth="1"/>
    <col min="8715" max="8715" width="7" style="282" customWidth="1"/>
    <col min="8716" max="8960" width="9.140625" style="282"/>
    <col min="8961" max="8962" width="5.7109375" style="282" customWidth="1"/>
    <col min="8963" max="8963" width="23.42578125" style="282" customWidth="1"/>
    <col min="8964" max="8965" width="6.85546875" style="282" customWidth="1"/>
    <col min="8966" max="8967" width="7" style="282" customWidth="1"/>
    <col min="8968" max="8968" width="10.5703125" style="282" customWidth="1"/>
    <col min="8969" max="8969" width="8.5703125" style="282" customWidth="1"/>
    <col min="8970" max="8970" width="8" style="282" customWidth="1"/>
    <col min="8971" max="8971" width="7" style="282" customWidth="1"/>
    <col min="8972" max="9216" width="9.140625" style="282"/>
    <col min="9217" max="9218" width="5.7109375" style="282" customWidth="1"/>
    <col min="9219" max="9219" width="23.42578125" style="282" customWidth="1"/>
    <col min="9220" max="9221" width="6.85546875" style="282" customWidth="1"/>
    <col min="9222" max="9223" width="7" style="282" customWidth="1"/>
    <col min="9224" max="9224" width="10.5703125" style="282" customWidth="1"/>
    <col min="9225" max="9225" width="8.5703125" style="282" customWidth="1"/>
    <col min="9226" max="9226" width="8" style="282" customWidth="1"/>
    <col min="9227" max="9227" width="7" style="282" customWidth="1"/>
    <col min="9228" max="9472" width="9.140625" style="282"/>
    <col min="9473" max="9474" width="5.7109375" style="282" customWidth="1"/>
    <col min="9475" max="9475" width="23.42578125" style="282" customWidth="1"/>
    <col min="9476" max="9477" width="6.85546875" style="282" customWidth="1"/>
    <col min="9478" max="9479" width="7" style="282" customWidth="1"/>
    <col min="9480" max="9480" width="10.5703125" style="282" customWidth="1"/>
    <col min="9481" max="9481" width="8.5703125" style="282" customWidth="1"/>
    <col min="9482" max="9482" width="8" style="282" customWidth="1"/>
    <col min="9483" max="9483" width="7" style="282" customWidth="1"/>
    <col min="9484" max="9728" width="9.140625" style="282"/>
    <col min="9729" max="9730" width="5.7109375" style="282" customWidth="1"/>
    <col min="9731" max="9731" width="23.42578125" style="282" customWidth="1"/>
    <col min="9732" max="9733" width="6.85546875" style="282" customWidth="1"/>
    <col min="9734" max="9735" width="7" style="282" customWidth="1"/>
    <col min="9736" max="9736" width="10.5703125" style="282" customWidth="1"/>
    <col min="9737" max="9737" width="8.5703125" style="282" customWidth="1"/>
    <col min="9738" max="9738" width="8" style="282" customWidth="1"/>
    <col min="9739" max="9739" width="7" style="282" customWidth="1"/>
    <col min="9740" max="9984" width="9.140625" style="282"/>
    <col min="9985" max="9986" width="5.7109375" style="282" customWidth="1"/>
    <col min="9987" max="9987" width="23.42578125" style="282" customWidth="1"/>
    <col min="9988" max="9989" width="6.85546875" style="282" customWidth="1"/>
    <col min="9990" max="9991" width="7" style="282" customWidth="1"/>
    <col min="9992" max="9992" width="10.5703125" style="282" customWidth="1"/>
    <col min="9993" max="9993" width="8.5703125" style="282" customWidth="1"/>
    <col min="9994" max="9994" width="8" style="282" customWidth="1"/>
    <col min="9995" max="9995" width="7" style="282" customWidth="1"/>
    <col min="9996" max="10240" width="9.140625" style="282"/>
    <col min="10241" max="10242" width="5.7109375" style="282" customWidth="1"/>
    <col min="10243" max="10243" width="23.42578125" style="282" customWidth="1"/>
    <col min="10244" max="10245" width="6.85546875" style="282" customWidth="1"/>
    <col min="10246" max="10247" width="7" style="282" customWidth="1"/>
    <col min="10248" max="10248" width="10.5703125" style="282" customWidth="1"/>
    <col min="10249" max="10249" width="8.5703125" style="282" customWidth="1"/>
    <col min="10250" max="10250" width="8" style="282" customWidth="1"/>
    <col min="10251" max="10251" width="7" style="282" customWidth="1"/>
    <col min="10252" max="10496" width="9.140625" style="282"/>
    <col min="10497" max="10498" width="5.7109375" style="282" customWidth="1"/>
    <col min="10499" max="10499" width="23.42578125" style="282" customWidth="1"/>
    <col min="10500" max="10501" width="6.85546875" style="282" customWidth="1"/>
    <col min="10502" max="10503" width="7" style="282" customWidth="1"/>
    <col min="10504" max="10504" width="10.5703125" style="282" customWidth="1"/>
    <col min="10505" max="10505" width="8.5703125" style="282" customWidth="1"/>
    <col min="10506" max="10506" width="8" style="282" customWidth="1"/>
    <col min="10507" max="10507" width="7" style="282" customWidth="1"/>
    <col min="10508" max="10752" width="9.140625" style="282"/>
    <col min="10753" max="10754" width="5.7109375" style="282" customWidth="1"/>
    <col min="10755" max="10755" width="23.42578125" style="282" customWidth="1"/>
    <col min="10756" max="10757" width="6.85546875" style="282" customWidth="1"/>
    <col min="10758" max="10759" width="7" style="282" customWidth="1"/>
    <col min="10760" max="10760" width="10.5703125" style="282" customWidth="1"/>
    <col min="10761" max="10761" width="8.5703125" style="282" customWidth="1"/>
    <col min="10762" max="10762" width="8" style="282" customWidth="1"/>
    <col min="10763" max="10763" width="7" style="282" customWidth="1"/>
    <col min="10764" max="11008" width="9.140625" style="282"/>
    <col min="11009" max="11010" width="5.7109375" style="282" customWidth="1"/>
    <col min="11011" max="11011" width="23.42578125" style="282" customWidth="1"/>
    <col min="11012" max="11013" width="6.85546875" style="282" customWidth="1"/>
    <col min="11014" max="11015" width="7" style="282" customWidth="1"/>
    <col min="11016" max="11016" width="10.5703125" style="282" customWidth="1"/>
    <col min="11017" max="11017" width="8.5703125" style="282" customWidth="1"/>
    <col min="11018" max="11018" width="8" style="282" customWidth="1"/>
    <col min="11019" max="11019" width="7" style="282" customWidth="1"/>
    <col min="11020" max="11264" width="9.140625" style="282"/>
    <col min="11265" max="11266" width="5.7109375" style="282" customWidth="1"/>
    <col min="11267" max="11267" width="23.42578125" style="282" customWidth="1"/>
    <col min="11268" max="11269" width="6.85546875" style="282" customWidth="1"/>
    <col min="11270" max="11271" width="7" style="282" customWidth="1"/>
    <col min="11272" max="11272" width="10.5703125" style="282" customWidth="1"/>
    <col min="11273" max="11273" width="8.5703125" style="282" customWidth="1"/>
    <col min="11274" max="11274" width="8" style="282" customWidth="1"/>
    <col min="11275" max="11275" width="7" style="282" customWidth="1"/>
    <col min="11276" max="11520" width="9.140625" style="282"/>
    <col min="11521" max="11522" width="5.7109375" style="282" customWidth="1"/>
    <col min="11523" max="11523" width="23.42578125" style="282" customWidth="1"/>
    <col min="11524" max="11525" width="6.85546875" style="282" customWidth="1"/>
    <col min="11526" max="11527" width="7" style="282" customWidth="1"/>
    <col min="11528" max="11528" width="10.5703125" style="282" customWidth="1"/>
    <col min="11529" max="11529" width="8.5703125" style="282" customWidth="1"/>
    <col min="11530" max="11530" width="8" style="282" customWidth="1"/>
    <col min="11531" max="11531" width="7" style="282" customWidth="1"/>
    <col min="11532" max="11776" width="9.140625" style="282"/>
    <col min="11777" max="11778" width="5.7109375" style="282" customWidth="1"/>
    <col min="11779" max="11779" width="23.42578125" style="282" customWidth="1"/>
    <col min="11780" max="11781" width="6.85546875" style="282" customWidth="1"/>
    <col min="11782" max="11783" width="7" style="282" customWidth="1"/>
    <col min="11784" max="11784" width="10.5703125" style="282" customWidth="1"/>
    <col min="11785" max="11785" width="8.5703125" style="282" customWidth="1"/>
    <col min="11786" max="11786" width="8" style="282" customWidth="1"/>
    <col min="11787" max="11787" width="7" style="282" customWidth="1"/>
    <col min="11788" max="12032" width="9.140625" style="282"/>
    <col min="12033" max="12034" width="5.7109375" style="282" customWidth="1"/>
    <col min="12035" max="12035" width="23.42578125" style="282" customWidth="1"/>
    <col min="12036" max="12037" width="6.85546875" style="282" customWidth="1"/>
    <col min="12038" max="12039" width="7" style="282" customWidth="1"/>
    <col min="12040" max="12040" width="10.5703125" style="282" customWidth="1"/>
    <col min="12041" max="12041" width="8.5703125" style="282" customWidth="1"/>
    <col min="12042" max="12042" width="8" style="282" customWidth="1"/>
    <col min="12043" max="12043" width="7" style="282" customWidth="1"/>
    <col min="12044" max="12288" width="9.140625" style="282"/>
    <col min="12289" max="12290" width="5.7109375" style="282" customWidth="1"/>
    <col min="12291" max="12291" width="23.42578125" style="282" customWidth="1"/>
    <col min="12292" max="12293" width="6.85546875" style="282" customWidth="1"/>
    <col min="12294" max="12295" width="7" style="282" customWidth="1"/>
    <col min="12296" max="12296" width="10.5703125" style="282" customWidth="1"/>
    <col min="12297" max="12297" width="8.5703125" style="282" customWidth="1"/>
    <col min="12298" max="12298" width="8" style="282" customWidth="1"/>
    <col min="12299" max="12299" width="7" style="282" customWidth="1"/>
    <col min="12300" max="12544" width="9.140625" style="282"/>
    <col min="12545" max="12546" width="5.7109375" style="282" customWidth="1"/>
    <col min="12547" max="12547" width="23.42578125" style="282" customWidth="1"/>
    <col min="12548" max="12549" width="6.85546875" style="282" customWidth="1"/>
    <col min="12550" max="12551" width="7" style="282" customWidth="1"/>
    <col min="12552" max="12552" width="10.5703125" style="282" customWidth="1"/>
    <col min="12553" max="12553" width="8.5703125" style="282" customWidth="1"/>
    <col min="12554" max="12554" width="8" style="282" customWidth="1"/>
    <col min="12555" max="12555" width="7" style="282" customWidth="1"/>
    <col min="12556" max="12800" width="9.140625" style="282"/>
    <col min="12801" max="12802" width="5.7109375" style="282" customWidth="1"/>
    <col min="12803" max="12803" width="23.42578125" style="282" customWidth="1"/>
    <col min="12804" max="12805" width="6.85546875" style="282" customWidth="1"/>
    <col min="12806" max="12807" width="7" style="282" customWidth="1"/>
    <col min="12808" max="12808" width="10.5703125" style="282" customWidth="1"/>
    <col min="12809" max="12809" width="8.5703125" style="282" customWidth="1"/>
    <col min="12810" max="12810" width="8" style="282" customWidth="1"/>
    <col min="12811" max="12811" width="7" style="282" customWidth="1"/>
    <col min="12812" max="13056" width="9.140625" style="282"/>
    <col min="13057" max="13058" width="5.7109375" style="282" customWidth="1"/>
    <col min="13059" max="13059" width="23.42578125" style="282" customWidth="1"/>
    <col min="13060" max="13061" width="6.85546875" style="282" customWidth="1"/>
    <col min="13062" max="13063" width="7" style="282" customWidth="1"/>
    <col min="13064" max="13064" width="10.5703125" style="282" customWidth="1"/>
    <col min="13065" max="13065" width="8.5703125" style="282" customWidth="1"/>
    <col min="13066" max="13066" width="8" style="282" customWidth="1"/>
    <col min="13067" max="13067" width="7" style="282" customWidth="1"/>
    <col min="13068" max="13312" width="9.140625" style="282"/>
    <col min="13313" max="13314" width="5.7109375" style="282" customWidth="1"/>
    <col min="13315" max="13315" width="23.42578125" style="282" customWidth="1"/>
    <col min="13316" max="13317" width="6.85546875" style="282" customWidth="1"/>
    <col min="13318" max="13319" width="7" style="282" customWidth="1"/>
    <col min="13320" max="13320" width="10.5703125" style="282" customWidth="1"/>
    <col min="13321" max="13321" width="8.5703125" style="282" customWidth="1"/>
    <col min="13322" max="13322" width="8" style="282" customWidth="1"/>
    <col min="13323" max="13323" width="7" style="282" customWidth="1"/>
    <col min="13324" max="13568" width="9.140625" style="282"/>
    <col min="13569" max="13570" width="5.7109375" style="282" customWidth="1"/>
    <col min="13571" max="13571" width="23.42578125" style="282" customWidth="1"/>
    <col min="13572" max="13573" width="6.85546875" style="282" customWidth="1"/>
    <col min="13574" max="13575" width="7" style="282" customWidth="1"/>
    <col min="13576" max="13576" width="10.5703125" style="282" customWidth="1"/>
    <col min="13577" max="13577" width="8.5703125" style="282" customWidth="1"/>
    <col min="13578" max="13578" width="8" style="282" customWidth="1"/>
    <col min="13579" max="13579" width="7" style="282" customWidth="1"/>
    <col min="13580" max="13824" width="9.140625" style="282"/>
    <col min="13825" max="13826" width="5.7109375" style="282" customWidth="1"/>
    <col min="13827" max="13827" width="23.42578125" style="282" customWidth="1"/>
    <col min="13828" max="13829" width="6.85546875" style="282" customWidth="1"/>
    <col min="13830" max="13831" width="7" style="282" customWidth="1"/>
    <col min="13832" max="13832" width="10.5703125" style="282" customWidth="1"/>
    <col min="13833" max="13833" width="8.5703125" style="282" customWidth="1"/>
    <col min="13834" max="13834" width="8" style="282" customWidth="1"/>
    <col min="13835" max="13835" width="7" style="282" customWidth="1"/>
    <col min="13836" max="14080" width="9.140625" style="282"/>
    <col min="14081" max="14082" width="5.7109375" style="282" customWidth="1"/>
    <col min="14083" max="14083" width="23.42578125" style="282" customWidth="1"/>
    <col min="14084" max="14085" width="6.85546875" style="282" customWidth="1"/>
    <col min="14086" max="14087" width="7" style="282" customWidth="1"/>
    <col min="14088" max="14088" width="10.5703125" style="282" customWidth="1"/>
    <col min="14089" max="14089" width="8.5703125" style="282" customWidth="1"/>
    <col min="14090" max="14090" width="8" style="282" customWidth="1"/>
    <col min="14091" max="14091" width="7" style="282" customWidth="1"/>
    <col min="14092" max="14336" width="9.140625" style="282"/>
    <col min="14337" max="14338" width="5.7109375" style="282" customWidth="1"/>
    <col min="14339" max="14339" width="23.42578125" style="282" customWidth="1"/>
    <col min="14340" max="14341" width="6.85546875" style="282" customWidth="1"/>
    <col min="14342" max="14343" width="7" style="282" customWidth="1"/>
    <col min="14344" max="14344" width="10.5703125" style="282" customWidth="1"/>
    <col min="14345" max="14345" width="8.5703125" style="282" customWidth="1"/>
    <col min="14346" max="14346" width="8" style="282" customWidth="1"/>
    <col min="14347" max="14347" width="7" style="282" customWidth="1"/>
    <col min="14348" max="14592" width="9.140625" style="282"/>
    <col min="14593" max="14594" width="5.7109375" style="282" customWidth="1"/>
    <col min="14595" max="14595" width="23.42578125" style="282" customWidth="1"/>
    <col min="14596" max="14597" width="6.85546875" style="282" customWidth="1"/>
    <col min="14598" max="14599" width="7" style="282" customWidth="1"/>
    <col min="14600" max="14600" width="10.5703125" style="282" customWidth="1"/>
    <col min="14601" max="14601" width="8.5703125" style="282" customWidth="1"/>
    <col min="14602" max="14602" width="8" style="282" customWidth="1"/>
    <col min="14603" max="14603" width="7" style="282" customWidth="1"/>
    <col min="14604" max="14848" width="9.140625" style="282"/>
    <col min="14849" max="14850" width="5.7109375" style="282" customWidth="1"/>
    <col min="14851" max="14851" width="23.42578125" style="282" customWidth="1"/>
    <col min="14852" max="14853" width="6.85546875" style="282" customWidth="1"/>
    <col min="14854" max="14855" width="7" style="282" customWidth="1"/>
    <col min="14856" max="14856" width="10.5703125" style="282" customWidth="1"/>
    <col min="14857" max="14857" width="8.5703125" style="282" customWidth="1"/>
    <col min="14858" max="14858" width="8" style="282" customWidth="1"/>
    <col min="14859" max="14859" width="7" style="282" customWidth="1"/>
    <col min="14860" max="15104" width="9.140625" style="282"/>
    <col min="15105" max="15106" width="5.7109375" style="282" customWidth="1"/>
    <col min="15107" max="15107" width="23.42578125" style="282" customWidth="1"/>
    <col min="15108" max="15109" width="6.85546875" style="282" customWidth="1"/>
    <col min="15110" max="15111" width="7" style="282" customWidth="1"/>
    <col min="15112" max="15112" width="10.5703125" style="282" customWidth="1"/>
    <col min="15113" max="15113" width="8.5703125" style="282" customWidth="1"/>
    <col min="15114" max="15114" width="8" style="282" customWidth="1"/>
    <col min="15115" max="15115" width="7" style="282" customWidth="1"/>
    <col min="15116" max="15360" width="9.140625" style="282"/>
    <col min="15361" max="15362" width="5.7109375" style="282" customWidth="1"/>
    <col min="15363" max="15363" width="23.42578125" style="282" customWidth="1"/>
    <col min="15364" max="15365" width="6.85546875" style="282" customWidth="1"/>
    <col min="15366" max="15367" width="7" style="282" customWidth="1"/>
    <col min="15368" max="15368" width="10.5703125" style="282" customWidth="1"/>
    <col min="15369" max="15369" width="8.5703125" style="282" customWidth="1"/>
    <col min="15370" max="15370" width="8" style="282" customWidth="1"/>
    <col min="15371" max="15371" width="7" style="282" customWidth="1"/>
    <col min="15372" max="15616" width="9.140625" style="282"/>
    <col min="15617" max="15618" width="5.7109375" style="282" customWidth="1"/>
    <col min="15619" max="15619" width="23.42578125" style="282" customWidth="1"/>
    <col min="15620" max="15621" width="6.85546875" style="282" customWidth="1"/>
    <col min="15622" max="15623" width="7" style="282" customWidth="1"/>
    <col min="15624" max="15624" width="10.5703125" style="282" customWidth="1"/>
    <col min="15625" max="15625" width="8.5703125" style="282" customWidth="1"/>
    <col min="15626" max="15626" width="8" style="282" customWidth="1"/>
    <col min="15627" max="15627" width="7" style="282" customWidth="1"/>
    <col min="15628" max="15872" width="9.140625" style="282"/>
    <col min="15873" max="15874" width="5.7109375" style="282" customWidth="1"/>
    <col min="15875" max="15875" width="23.42578125" style="282" customWidth="1"/>
    <col min="15876" max="15877" width="6.85546875" style="282" customWidth="1"/>
    <col min="15878" max="15879" width="7" style="282" customWidth="1"/>
    <col min="15880" max="15880" width="10.5703125" style="282" customWidth="1"/>
    <col min="15881" max="15881" width="8.5703125" style="282" customWidth="1"/>
    <col min="15882" max="15882" width="8" style="282" customWidth="1"/>
    <col min="15883" max="15883" width="7" style="282" customWidth="1"/>
    <col min="15884" max="16128" width="9.140625" style="282"/>
    <col min="16129" max="16130" width="5.7109375" style="282" customWidth="1"/>
    <col min="16131" max="16131" width="23.42578125" style="282" customWidth="1"/>
    <col min="16132" max="16133" width="6.85546875" style="282" customWidth="1"/>
    <col min="16134" max="16135" width="7" style="282" customWidth="1"/>
    <col min="16136" max="16136" width="10.5703125" style="282" customWidth="1"/>
    <col min="16137" max="16137" width="8.5703125" style="282" customWidth="1"/>
    <col min="16138" max="16138" width="8" style="282" customWidth="1"/>
    <col min="16139" max="16139" width="7" style="282" customWidth="1"/>
    <col min="16140" max="16384" width="9.140625" style="282"/>
  </cols>
  <sheetData>
    <row r="1" spans="1:11" s="220" customFormat="1" ht="82.5" customHeight="1">
      <c r="A1" s="300" t="s">
        <v>334</v>
      </c>
      <c r="B1" s="300"/>
      <c r="C1" s="300"/>
      <c r="D1" s="300"/>
      <c r="E1" s="300"/>
      <c r="F1" s="300"/>
      <c r="G1" s="300"/>
      <c r="H1" s="300"/>
      <c r="I1" s="300"/>
      <c r="J1" s="300"/>
      <c r="K1" s="300"/>
    </row>
    <row r="2" spans="1:11" s="220" customFormat="1" ht="46.5" customHeight="1">
      <c r="A2" s="301" t="s">
        <v>335</v>
      </c>
      <c r="B2" s="301"/>
      <c r="C2" s="301"/>
      <c r="D2" s="301"/>
      <c r="E2" s="301"/>
      <c r="F2" s="301"/>
      <c r="G2" s="301"/>
      <c r="H2" s="301"/>
      <c r="I2" s="301"/>
      <c r="J2" s="301"/>
      <c r="K2" s="301"/>
    </row>
    <row r="3" spans="1:11" s="242" customFormat="1" ht="16.5" customHeight="1">
      <c r="A3" s="240" t="s">
        <v>336</v>
      </c>
      <c r="B3" s="241"/>
      <c r="C3" s="309" t="s">
        <v>337</v>
      </c>
      <c r="D3" s="310" t="s">
        <v>338</v>
      </c>
      <c r="E3" s="310"/>
      <c r="F3" s="310" t="s">
        <v>339</v>
      </c>
      <c r="G3" s="310"/>
      <c r="H3" s="310"/>
      <c r="I3" s="310"/>
      <c r="J3" s="310"/>
      <c r="K3" s="309" t="s">
        <v>340</v>
      </c>
    </row>
    <row r="4" spans="1:11" s="242" customFormat="1" ht="33" customHeight="1">
      <c r="A4" s="240" t="s">
        <v>341</v>
      </c>
      <c r="B4" s="241" t="s">
        <v>342</v>
      </c>
      <c r="C4" s="309"/>
      <c r="D4" s="240" t="s">
        <v>343</v>
      </c>
      <c r="E4" s="240" t="s">
        <v>344</v>
      </c>
      <c r="F4" s="240" t="s">
        <v>343</v>
      </c>
      <c r="G4" s="240" t="s">
        <v>345</v>
      </c>
      <c r="H4" s="243" t="s">
        <v>346</v>
      </c>
      <c r="I4" s="243" t="s">
        <v>347</v>
      </c>
      <c r="J4" s="243" t="s">
        <v>348</v>
      </c>
      <c r="K4" s="309"/>
    </row>
    <row r="5" spans="1:11" s="249" customFormat="1" ht="91.5" customHeight="1">
      <c r="A5" s="244">
        <v>1</v>
      </c>
      <c r="B5" s="245">
        <v>6</v>
      </c>
      <c r="C5" s="246" t="s">
        <v>349</v>
      </c>
      <c r="D5" s="244">
        <v>19</v>
      </c>
      <c r="E5" s="244">
        <v>9</v>
      </c>
      <c r="F5" s="244">
        <v>13</v>
      </c>
      <c r="G5" s="244">
        <v>1</v>
      </c>
      <c r="H5" s="247">
        <v>319.8</v>
      </c>
      <c r="I5" s="247">
        <v>114.19</v>
      </c>
      <c r="J5" s="247">
        <f t="shared" ref="J5:J24" si="0">H5-I5</f>
        <v>205.61</v>
      </c>
      <c r="K5" s="248" t="s">
        <v>350</v>
      </c>
    </row>
    <row r="6" spans="1:11" s="249" customFormat="1" ht="83.25" customHeight="1">
      <c r="A6" s="244">
        <v>2</v>
      </c>
      <c r="B6" s="245">
        <v>10</v>
      </c>
      <c r="C6" s="246" t="s">
        <v>351</v>
      </c>
      <c r="D6" s="244">
        <v>24</v>
      </c>
      <c r="E6" s="244">
        <v>19</v>
      </c>
      <c r="F6" s="244">
        <v>18</v>
      </c>
      <c r="G6" s="244">
        <v>1</v>
      </c>
      <c r="H6" s="247">
        <v>324.8</v>
      </c>
      <c r="I6" s="247">
        <v>144.43</v>
      </c>
      <c r="J6" s="247">
        <f t="shared" si="0"/>
        <v>180.37</v>
      </c>
      <c r="K6" s="248" t="s">
        <v>350</v>
      </c>
    </row>
    <row r="7" spans="1:11" s="249" customFormat="1" ht="104.25" customHeight="1">
      <c r="A7" s="244">
        <v>3</v>
      </c>
      <c r="B7" s="245">
        <v>18</v>
      </c>
      <c r="C7" s="246" t="s">
        <v>352</v>
      </c>
      <c r="D7" s="244">
        <v>22</v>
      </c>
      <c r="E7" s="244">
        <v>19</v>
      </c>
      <c r="F7" s="244">
        <v>27</v>
      </c>
      <c r="G7" s="244">
        <v>1</v>
      </c>
      <c r="H7" s="247">
        <v>221.7</v>
      </c>
      <c r="I7" s="247">
        <v>30.2</v>
      </c>
      <c r="J7" s="247">
        <f t="shared" si="0"/>
        <v>191.5</v>
      </c>
      <c r="K7" s="248" t="s">
        <v>350</v>
      </c>
    </row>
    <row r="8" spans="1:11" s="249" customFormat="1" ht="72" customHeight="1">
      <c r="A8" s="244">
        <v>4</v>
      </c>
      <c r="B8" s="245">
        <v>23</v>
      </c>
      <c r="C8" s="246" t="s">
        <v>353</v>
      </c>
      <c r="D8" s="244">
        <v>15</v>
      </c>
      <c r="E8" s="244">
        <v>19</v>
      </c>
      <c r="F8" s="244">
        <v>33</v>
      </c>
      <c r="G8" s="244">
        <v>1</v>
      </c>
      <c r="H8" s="247">
        <v>260.3</v>
      </c>
      <c r="I8" s="247">
        <v>57.2</v>
      </c>
      <c r="J8" s="247">
        <f t="shared" si="0"/>
        <v>203.10000000000002</v>
      </c>
      <c r="K8" s="248" t="s">
        <v>350</v>
      </c>
    </row>
    <row r="9" spans="1:11" s="249" customFormat="1" ht="86.25" customHeight="1">
      <c r="A9" s="244">
        <v>5</v>
      </c>
      <c r="B9" s="245">
        <v>24</v>
      </c>
      <c r="C9" s="246" t="s">
        <v>354</v>
      </c>
      <c r="D9" s="244">
        <v>17</v>
      </c>
      <c r="E9" s="244">
        <v>19</v>
      </c>
      <c r="F9" s="244">
        <v>34</v>
      </c>
      <c r="G9" s="244">
        <v>1</v>
      </c>
      <c r="H9" s="247">
        <v>92.8</v>
      </c>
      <c r="I9" s="247">
        <v>9.11</v>
      </c>
      <c r="J9" s="247">
        <f t="shared" si="0"/>
        <v>83.69</v>
      </c>
      <c r="K9" s="248" t="s">
        <v>350</v>
      </c>
    </row>
    <row r="10" spans="1:11" s="249" customFormat="1" ht="78.75">
      <c r="A10" s="244">
        <v>6</v>
      </c>
      <c r="B10" s="245">
        <v>29</v>
      </c>
      <c r="C10" s="250" t="s">
        <v>355</v>
      </c>
      <c r="D10" s="244">
        <v>104</v>
      </c>
      <c r="E10" s="244">
        <v>19</v>
      </c>
      <c r="F10" s="244">
        <v>40</v>
      </c>
      <c r="G10" s="244">
        <v>1</v>
      </c>
      <c r="H10" s="247">
        <v>71.900000000000006</v>
      </c>
      <c r="I10" s="247">
        <v>18.27</v>
      </c>
      <c r="J10" s="247">
        <f t="shared" si="0"/>
        <v>53.63000000000001</v>
      </c>
      <c r="K10" s="248" t="s">
        <v>350</v>
      </c>
    </row>
    <row r="11" spans="1:11" s="249" customFormat="1" ht="69" customHeight="1">
      <c r="A11" s="244">
        <v>7</v>
      </c>
      <c r="B11" s="245">
        <v>30</v>
      </c>
      <c r="C11" s="251" t="s">
        <v>356</v>
      </c>
      <c r="D11" s="244">
        <v>105</v>
      </c>
      <c r="E11" s="244">
        <v>19</v>
      </c>
      <c r="F11" s="244">
        <v>41</v>
      </c>
      <c r="G11" s="244">
        <v>1</v>
      </c>
      <c r="H11" s="247">
        <v>92</v>
      </c>
      <c r="I11" s="247">
        <v>36.6</v>
      </c>
      <c r="J11" s="247">
        <f t="shared" si="0"/>
        <v>55.4</v>
      </c>
      <c r="K11" s="248" t="s">
        <v>350</v>
      </c>
    </row>
    <row r="12" spans="1:11" s="249" customFormat="1" ht="84" customHeight="1">
      <c r="A12" s="244">
        <v>8</v>
      </c>
      <c r="B12" s="245">
        <v>33</v>
      </c>
      <c r="C12" s="246" t="s">
        <v>357</v>
      </c>
      <c r="D12" s="244">
        <v>108</v>
      </c>
      <c r="E12" s="244">
        <v>19</v>
      </c>
      <c r="F12" s="244">
        <v>44</v>
      </c>
      <c r="G12" s="244">
        <v>1</v>
      </c>
      <c r="H12" s="247">
        <v>85.3</v>
      </c>
      <c r="I12" s="247">
        <v>32.18</v>
      </c>
      <c r="J12" s="247">
        <f t="shared" si="0"/>
        <v>53.12</v>
      </c>
      <c r="K12" s="248" t="s">
        <v>350</v>
      </c>
    </row>
    <row r="13" spans="1:11" s="253" customFormat="1" ht="100.5" customHeight="1">
      <c r="A13" s="244">
        <v>9</v>
      </c>
      <c r="B13" s="245">
        <v>38</v>
      </c>
      <c r="C13" s="246" t="s">
        <v>358</v>
      </c>
      <c r="D13" s="244">
        <v>50</v>
      </c>
      <c r="E13" s="244">
        <v>19</v>
      </c>
      <c r="F13" s="244">
        <v>50</v>
      </c>
      <c r="G13" s="244">
        <v>1</v>
      </c>
      <c r="H13" s="247">
        <v>258.3</v>
      </c>
      <c r="I13" s="247">
        <v>14.1</v>
      </c>
      <c r="J13" s="247">
        <f t="shared" si="0"/>
        <v>244.20000000000002</v>
      </c>
      <c r="K13" s="252" t="s">
        <v>350</v>
      </c>
    </row>
    <row r="14" spans="1:11" s="249" customFormat="1" ht="100.5" customHeight="1">
      <c r="A14" s="244">
        <v>10</v>
      </c>
      <c r="B14" s="245">
        <v>40</v>
      </c>
      <c r="C14" s="246" t="s">
        <v>359</v>
      </c>
      <c r="D14" s="244">
        <v>103</v>
      </c>
      <c r="E14" s="244">
        <v>19</v>
      </c>
      <c r="F14" s="244">
        <v>55</v>
      </c>
      <c r="G14" s="244">
        <v>1</v>
      </c>
      <c r="H14" s="247">
        <v>177.2</v>
      </c>
      <c r="I14" s="247">
        <v>40.71</v>
      </c>
      <c r="J14" s="247">
        <f t="shared" si="0"/>
        <v>136.48999999999998</v>
      </c>
      <c r="K14" s="248" t="s">
        <v>350</v>
      </c>
    </row>
    <row r="15" spans="1:11" s="249" customFormat="1" ht="86.25" customHeight="1">
      <c r="A15" s="244">
        <v>11</v>
      </c>
      <c r="B15" s="245">
        <v>46</v>
      </c>
      <c r="C15" s="246" t="s">
        <v>360</v>
      </c>
      <c r="D15" s="244">
        <v>13</v>
      </c>
      <c r="E15" s="244">
        <v>18</v>
      </c>
      <c r="F15" s="244">
        <v>61</v>
      </c>
      <c r="G15" s="244">
        <v>1</v>
      </c>
      <c r="H15" s="247">
        <v>1368.9</v>
      </c>
      <c r="I15" s="247">
        <v>230.12</v>
      </c>
      <c r="J15" s="247">
        <f t="shared" si="0"/>
        <v>1138.7800000000002</v>
      </c>
      <c r="K15" s="248" t="s">
        <v>350</v>
      </c>
    </row>
    <row r="16" spans="1:11" s="249" customFormat="1" ht="96.75" customHeight="1">
      <c r="A16" s="244">
        <v>12</v>
      </c>
      <c r="B16" s="245">
        <v>47</v>
      </c>
      <c r="C16" s="246" t="s">
        <v>361</v>
      </c>
      <c r="D16" s="244">
        <v>78</v>
      </c>
      <c r="E16" s="244">
        <v>18</v>
      </c>
      <c r="F16" s="244">
        <v>62</v>
      </c>
      <c r="G16" s="244">
        <v>1</v>
      </c>
      <c r="H16" s="247">
        <v>692.8</v>
      </c>
      <c r="I16" s="247">
        <v>96.93</v>
      </c>
      <c r="J16" s="247">
        <f t="shared" si="0"/>
        <v>595.86999999999989</v>
      </c>
      <c r="K16" s="248" t="s">
        <v>350</v>
      </c>
    </row>
    <row r="17" spans="1:12" s="255" customFormat="1" ht="138" customHeight="1">
      <c r="A17" s="244">
        <v>13</v>
      </c>
      <c r="B17" s="254">
        <v>88</v>
      </c>
      <c r="C17" s="246" t="s">
        <v>362</v>
      </c>
      <c r="D17" s="254">
        <v>3</v>
      </c>
      <c r="E17" s="254">
        <v>27</v>
      </c>
      <c r="F17" s="254">
        <v>5</v>
      </c>
      <c r="G17" s="254">
        <v>3</v>
      </c>
      <c r="H17" s="247">
        <v>417.8</v>
      </c>
      <c r="I17" s="247">
        <v>417.8</v>
      </c>
      <c r="J17" s="247">
        <f t="shared" si="0"/>
        <v>0</v>
      </c>
      <c r="K17" s="246" t="s">
        <v>350</v>
      </c>
    </row>
    <row r="18" spans="1:12" s="256" customFormat="1" ht="154.5" customHeight="1">
      <c r="A18" s="244">
        <v>14</v>
      </c>
      <c r="B18" s="254">
        <v>90</v>
      </c>
      <c r="C18" s="246" t="s">
        <v>363</v>
      </c>
      <c r="D18" s="254">
        <v>14</v>
      </c>
      <c r="E18" s="254">
        <v>26</v>
      </c>
      <c r="F18" s="254">
        <v>8</v>
      </c>
      <c r="G18" s="254">
        <v>3</v>
      </c>
      <c r="H18" s="247">
        <v>327.9</v>
      </c>
      <c r="I18" s="247">
        <v>327.9</v>
      </c>
      <c r="J18" s="247">
        <f t="shared" si="0"/>
        <v>0</v>
      </c>
      <c r="K18" s="246" t="s">
        <v>350</v>
      </c>
    </row>
    <row r="19" spans="1:12" s="261" customFormat="1" ht="133.5" customHeight="1">
      <c r="A19" s="257">
        <v>15</v>
      </c>
      <c r="B19" s="258">
        <v>92</v>
      </c>
      <c r="C19" s="259" t="s">
        <v>364</v>
      </c>
      <c r="D19" s="258">
        <v>16</v>
      </c>
      <c r="E19" s="258">
        <v>26</v>
      </c>
      <c r="F19" s="258" t="s">
        <v>365</v>
      </c>
      <c r="G19" s="258">
        <v>3</v>
      </c>
      <c r="H19" s="260">
        <f>176.7+168.5</f>
        <v>345.2</v>
      </c>
      <c r="I19" s="260">
        <f>176.7+168.5</f>
        <v>345.2</v>
      </c>
      <c r="J19" s="260">
        <f t="shared" si="0"/>
        <v>0</v>
      </c>
      <c r="K19" s="259" t="s">
        <v>350</v>
      </c>
    </row>
    <row r="20" spans="1:12" s="261" customFormat="1" ht="130.5" customHeight="1">
      <c r="A20" s="257">
        <v>16</v>
      </c>
      <c r="B20" s="258">
        <v>94</v>
      </c>
      <c r="C20" s="259" t="s">
        <v>366</v>
      </c>
      <c r="D20" s="258">
        <v>123</v>
      </c>
      <c r="E20" s="258">
        <v>26</v>
      </c>
      <c r="F20" s="258" t="s">
        <v>367</v>
      </c>
      <c r="G20" s="258">
        <v>3</v>
      </c>
      <c r="H20" s="260">
        <f>321.3+127</f>
        <v>448.3</v>
      </c>
      <c r="I20" s="260">
        <f>321.3+127</f>
        <v>448.3</v>
      </c>
      <c r="J20" s="260">
        <f t="shared" si="0"/>
        <v>0</v>
      </c>
      <c r="K20" s="259" t="s">
        <v>350</v>
      </c>
    </row>
    <row r="21" spans="1:12" s="265" customFormat="1" ht="150.75" customHeight="1">
      <c r="A21" s="257">
        <v>17</v>
      </c>
      <c r="B21" s="258">
        <v>95</v>
      </c>
      <c r="C21" s="262" t="s">
        <v>368</v>
      </c>
      <c r="D21" s="258">
        <v>183</v>
      </c>
      <c r="E21" s="258">
        <v>27</v>
      </c>
      <c r="F21" s="258" t="s">
        <v>369</v>
      </c>
      <c r="G21" s="258">
        <v>3</v>
      </c>
      <c r="H21" s="263">
        <f>68.9+80.5</f>
        <v>149.4</v>
      </c>
      <c r="I21" s="263">
        <f>68.9+80.5</f>
        <v>149.4</v>
      </c>
      <c r="J21" s="263">
        <f t="shared" si="0"/>
        <v>0</v>
      </c>
      <c r="K21" s="262" t="s">
        <v>350</v>
      </c>
      <c r="L21" s="264"/>
    </row>
    <row r="22" spans="1:12" s="264" customFormat="1" ht="77.25" customHeight="1">
      <c r="A22" s="257">
        <v>18</v>
      </c>
      <c r="B22" s="258">
        <v>97</v>
      </c>
      <c r="C22" s="266" t="s">
        <v>370</v>
      </c>
      <c r="D22" s="258">
        <v>184</v>
      </c>
      <c r="E22" s="258">
        <v>27</v>
      </c>
      <c r="F22" s="258">
        <v>16</v>
      </c>
      <c r="G22" s="258">
        <v>3</v>
      </c>
      <c r="H22" s="263">
        <v>199.2</v>
      </c>
      <c r="I22" s="263">
        <v>199.2</v>
      </c>
      <c r="J22" s="263">
        <f t="shared" si="0"/>
        <v>0</v>
      </c>
      <c r="K22" s="262" t="s">
        <v>350</v>
      </c>
      <c r="L22" s="265"/>
    </row>
    <row r="23" spans="1:12" s="265" customFormat="1" ht="153.75" customHeight="1">
      <c r="A23" s="257">
        <v>19</v>
      </c>
      <c r="B23" s="258">
        <v>98</v>
      </c>
      <c r="C23" s="266" t="s">
        <v>371</v>
      </c>
      <c r="D23" s="258">
        <v>185</v>
      </c>
      <c r="E23" s="258">
        <v>27</v>
      </c>
      <c r="F23" s="258">
        <v>17</v>
      </c>
      <c r="G23" s="258">
        <v>3</v>
      </c>
      <c r="H23" s="263">
        <v>224.3</v>
      </c>
      <c r="I23" s="263">
        <v>224.3</v>
      </c>
      <c r="J23" s="263">
        <f t="shared" si="0"/>
        <v>0</v>
      </c>
      <c r="K23" s="262" t="s">
        <v>350</v>
      </c>
    </row>
    <row r="24" spans="1:12" s="261" customFormat="1" ht="102" customHeight="1">
      <c r="A24" s="257">
        <v>20</v>
      </c>
      <c r="B24" s="258">
        <v>99</v>
      </c>
      <c r="C24" s="267" t="s">
        <v>372</v>
      </c>
      <c r="D24" s="258">
        <v>4</v>
      </c>
      <c r="E24" s="258">
        <v>27</v>
      </c>
      <c r="F24" s="258">
        <v>18</v>
      </c>
      <c r="G24" s="258">
        <v>3</v>
      </c>
      <c r="H24" s="260">
        <v>339.5</v>
      </c>
      <c r="I24" s="260">
        <v>339.5</v>
      </c>
      <c r="J24" s="260">
        <f t="shared" si="0"/>
        <v>0</v>
      </c>
      <c r="K24" s="259" t="s">
        <v>350</v>
      </c>
    </row>
    <row r="25" spans="1:12" s="261" customFormat="1" ht="141" customHeight="1">
      <c r="A25" s="257">
        <v>21</v>
      </c>
      <c r="B25" s="258">
        <v>122</v>
      </c>
      <c r="C25" s="266" t="s">
        <v>373</v>
      </c>
      <c r="D25" s="258">
        <v>13</v>
      </c>
      <c r="E25" s="258">
        <v>26</v>
      </c>
      <c r="F25" s="258">
        <v>24</v>
      </c>
      <c r="G25" s="258">
        <v>3</v>
      </c>
      <c r="H25" s="260">
        <v>145.69999999999999</v>
      </c>
      <c r="I25" s="260">
        <v>145.69999999999999</v>
      </c>
      <c r="J25" s="260">
        <f>H25-I25</f>
        <v>0</v>
      </c>
      <c r="K25" s="259" t="s">
        <v>350</v>
      </c>
    </row>
    <row r="26" spans="1:12" s="270" customFormat="1" ht="15.75" customHeight="1" thickBot="1">
      <c r="A26" s="306" t="s">
        <v>374</v>
      </c>
      <c r="B26" s="307"/>
      <c r="C26" s="307"/>
      <c r="D26" s="307"/>
      <c r="E26" s="307"/>
      <c r="F26" s="308"/>
      <c r="G26" s="268"/>
      <c r="H26" s="269">
        <f>SUM(H5:H25)</f>
        <v>6563.0999999999995</v>
      </c>
      <c r="I26" s="269">
        <f>SUM(I5:I25)</f>
        <v>3421.3399999999997</v>
      </c>
      <c r="J26" s="269">
        <f>H26-I26</f>
        <v>3141.7599999999998</v>
      </c>
      <c r="K26" s="268"/>
      <c r="L26" s="261"/>
    </row>
    <row r="27" spans="1:12" s="276" customFormat="1">
      <c r="A27" s="271"/>
      <c r="B27" s="271"/>
      <c r="C27" s="271"/>
      <c r="D27" s="272"/>
      <c r="E27" s="273"/>
      <c r="F27" s="272"/>
      <c r="G27" s="272"/>
      <c r="H27" s="274"/>
      <c r="I27" s="275"/>
      <c r="J27" s="271"/>
      <c r="K27" s="271"/>
    </row>
    <row r="28" spans="1:12" s="276" customFormat="1">
      <c r="A28" s="271"/>
      <c r="B28" s="271"/>
      <c r="C28" s="271"/>
      <c r="D28" s="272"/>
      <c r="E28" s="273"/>
      <c r="F28" s="272"/>
      <c r="G28" s="272"/>
      <c r="H28" s="274"/>
      <c r="I28" s="275"/>
      <c r="J28" s="271"/>
      <c r="K28" s="271"/>
    </row>
    <row r="29" spans="1:12" s="276" customFormat="1">
      <c r="A29" s="271"/>
      <c r="B29" s="271"/>
      <c r="C29" s="271"/>
      <c r="D29" s="272"/>
      <c r="E29" s="273"/>
      <c r="F29" s="272"/>
      <c r="G29" s="272"/>
      <c r="H29" s="274"/>
      <c r="I29" s="275"/>
      <c r="J29" s="271"/>
      <c r="K29" s="271"/>
    </row>
    <row r="30" spans="1:12" s="276" customFormat="1">
      <c r="A30" s="271"/>
      <c r="B30" s="271"/>
      <c r="C30" s="271"/>
      <c r="D30" s="272"/>
      <c r="E30" s="273"/>
      <c r="F30" s="272"/>
      <c r="G30" s="272"/>
      <c r="H30" s="274"/>
      <c r="I30" s="275"/>
      <c r="J30" s="271" t="s">
        <v>375</v>
      </c>
      <c r="K30" s="271"/>
    </row>
    <row r="31" spans="1:12" s="276" customFormat="1">
      <c r="A31" s="271"/>
      <c r="B31" s="271"/>
      <c r="C31" s="271"/>
      <c r="D31" s="272"/>
      <c r="E31" s="273"/>
      <c r="F31" s="272"/>
      <c r="G31" s="272"/>
      <c r="H31" s="274"/>
      <c r="I31" s="275"/>
      <c r="J31" s="271"/>
      <c r="K31" s="271"/>
    </row>
    <row r="32" spans="1:12" s="276" customFormat="1">
      <c r="A32" s="271"/>
      <c r="B32" s="271"/>
      <c r="C32" s="271"/>
      <c r="D32" s="272"/>
      <c r="E32" s="273"/>
      <c r="F32" s="272"/>
      <c r="G32" s="272"/>
      <c r="H32" s="274"/>
      <c r="I32" s="275"/>
      <c r="J32" s="271"/>
      <c r="K32" s="271"/>
    </row>
    <row r="33" spans="1:11" s="276" customFormat="1">
      <c r="A33" s="271"/>
      <c r="B33" s="271"/>
      <c r="C33" s="271"/>
      <c r="D33" s="272"/>
      <c r="E33" s="273"/>
      <c r="F33" s="272"/>
      <c r="G33" s="272"/>
      <c r="H33" s="274"/>
      <c r="I33" s="275"/>
      <c r="J33" s="271"/>
      <c r="K33" s="271"/>
    </row>
    <row r="34" spans="1:11" s="276" customFormat="1">
      <c r="A34" s="271"/>
      <c r="B34" s="271"/>
      <c r="C34" s="271"/>
      <c r="D34" s="272"/>
      <c r="E34" s="273"/>
      <c r="F34" s="272"/>
      <c r="G34" s="272"/>
      <c r="H34" s="274"/>
      <c r="I34" s="275"/>
      <c r="J34" s="271"/>
      <c r="K34" s="271"/>
    </row>
    <row r="58" spans="1:11" s="249" customFormat="1" ht="90" customHeight="1">
      <c r="A58" s="244">
        <v>1</v>
      </c>
      <c r="B58" s="245">
        <v>13</v>
      </c>
      <c r="C58" s="250" t="s">
        <v>376</v>
      </c>
      <c r="D58" s="244">
        <v>18</v>
      </c>
      <c r="E58" s="244">
        <v>19</v>
      </c>
      <c r="F58" s="244">
        <v>22</v>
      </c>
      <c r="G58" s="244">
        <v>1</v>
      </c>
      <c r="H58" s="247">
        <v>364.2</v>
      </c>
      <c r="I58" s="247">
        <v>88.8</v>
      </c>
      <c r="J58" s="247">
        <f>H58-I58</f>
        <v>275.39999999999998</v>
      </c>
      <c r="K58" s="248" t="s">
        <v>350</v>
      </c>
    </row>
    <row r="59" spans="1:11" s="249" customFormat="1" ht="90" customHeight="1">
      <c r="A59" s="244">
        <v>2</v>
      </c>
      <c r="B59" s="245">
        <v>14</v>
      </c>
      <c r="C59" s="250" t="s">
        <v>377</v>
      </c>
      <c r="D59" s="244">
        <v>19</v>
      </c>
      <c r="E59" s="244">
        <v>19</v>
      </c>
      <c r="F59" s="244">
        <v>23</v>
      </c>
      <c r="G59" s="244">
        <v>1</v>
      </c>
      <c r="H59" s="247">
        <v>563.1</v>
      </c>
      <c r="I59" s="247">
        <v>175.2</v>
      </c>
      <c r="J59" s="247">
        <f>H59-I59</f>
        <v>387.90000000000003</v>
      </c>
      <c r="K59" s="248" t="s">
        <v>378</v>
      </c>
    </row>
    <row r="60" spans="1:11" s="249" customFormat="1" ht="63">
      <c r="A60" s="244">
        <v>3</v>
      </c>
      <c r="B60" s="245">
        <v>34</v>
      </c>
      <c r="C60" s="246" t="s">
        <v>379</v>
      </c>
      <c r="D60" s="244">
        <v>109</v>
      </c>
      <c r="E60" s="244">
        <v>19</v>
      </c>
      <c r="F60" s="244">
        <v>45</v>
      </c>
      <c r="G60" s="244">
        <v>1</v>
      </c>
      <c r="H60" s="247">
        <v>88.2</v>
      </c>
      <c r="I60" s="247">
        <v>32.21</v>
      </c>
      <c r="J60" s="247">
        <f>H60-I60</f>
        <v>55.99</v>
      </c>
      <c r="K60" s="248" t="s">
        <v>350</v>
      </c>
    </row>
  </sheetData>
  <mergeCells count="7">
    <mergeCell ref="A26:F26"/>
    <mergeCell ref="A1:K1"/>
    <mergeCell ref="A2:K2"/>
    <mergeCell ref="C3:C4"/>
    <mergeCell ref="D3:E3"/>
    <mergeCell ref="F3:J3"/>
    <mergeCell ref="K3:K4"/>
  </mergeCells>
  <pageMargins left="0.17" right="0.17" top="0.17" bottom="0.27" header="0.17"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dot 3</vt:lpstr>
      <vt:lpstr>dot 3 (2)</vt:lpstr>
      <vt:lpstr>thu hoi dat</vt:lpstr>
      <vt:lpstr>'dot 3'!Print_Titles</vt:lpstr>
      <vt:lpstr>'dot 3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2023-12-22T03:52:47Z</cp:lastPrinted>
  <dcterms:created xsi:type="dcterms:W3CDTF">2023-12-22T03:22:17Z</dcterms:created>
  <dcterms:modified xsi:type="dcterms:W3CDTF">2023-12-22T03:52:54Z</dcterms:modified>
</cp:coreProperties>
</file>